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primeadvservices-my.sharepoint.com/personal/ioannis_minis_mprime_gr/Documents/Aegean/Courses/SCM II/L5.6.7_Warehouse Design/"/>
    </mc:Choice>
  </mc:AlternateContent>
  <xr:revisionPtr revIDLastSave="779" documentId="13_ncr:1_{E4651D78-93C4-4A60-9B9D-41EF032853B9}" xr6:coauthVersionLast="45" xr6:coauthVersionMax="45" xr10:uidLastSave="{689F0AAB-DC5B-4CF8-A67E-0A245D641A9E}"/>
  <bookViews>
    <workbookView xWindow="-120" yWindow="-120" windowWidth="24240" windowHeight="13140" activeTab="3" xr2:uid="{9C46AE41-856D-4EAD-9F47-E82E1FF627AA}"/>
  </bookViews>
  <sheets>
    <sheet name="ui = infinity" sheetId="1" r:id="rId1"/>
    <sheet name="ui" sheetId="2" r:id="rId2"/>
    <sheet name="Piece_1" sheetId="3" r:id="rId3"/>
    <sheet name="Piece_2" sheetId="4" r:id="rId4"/>
  </sheets>
  <definedNames>
    <definedName name="solver_adj" localSheetId="1" hidden="1">ui!$D$12:$H$12</definedName>
    <definedName name="solver_adj" localSheetId="0" hidden="1">'ui = infinity'!$D$9:$F$9</definedName>
    <definedName name="solver_cvg" localSheetId="1" hidden="1">0.0001</definedName>
    <definedName name="solver_cvg" localSheetId="0" hidden="1">0.0001</definedName>
    <definedName name="solver_drv" localSheetId="1" hidden="1">2</definedName>
    <definedName name="solver_drv" localSheetId="0" hidden="1">1</definedName>
    <definedName name="solver_eng" localSheetId="1" hidden="1">2</definedName>
    <definedName name="solver_eng" localSheetId="0" hidden="1">2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ui!$D$12</definedName>
    <definedName name="solver_lhs1" localSheetId="0" hidden="1">'ui = infinity'!$D$9</definedName>
    <definedName name="solver_lhs2" localSheetId="1" hidden="1">ui!$E$12</definedName>
    <definedName name="solver_lhs2" localSheetId="0" hidden="1">'ui = infinity'!$E$9</definedName>
    <definedName name="solver_lhs3" localSheetId="1" hidden="1">ui!$F$12</definedName>
    <definedName name="solver_lhs3" localSheetId="0" hidden="1">'ui = infinity'!$F$9</definedName>
    <definedName name="solver_lhs4" localSheetId="1" hidden="1">ui!$G$12</definedName>
    <definedName name="solver_lhs4" localSheetId="0" hidden="1">'ui = infinity'!$H$11</definedName>
    <definedName name="solver_lhs5" localSheetId="1" hidden="1">ui!$H$12</definedName>
    <definedName name="solver_lhs6" localSheetId="1" hidden="1">ui!$I$14</definedName>
    <definedName name="solver_lhs7" localSheetId="1" hidden="1">ui!$I$15</definedName>
    <definedName name="solver_lhs8" localSheetId="1" hidden="1">ui!$I$16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8</definedName>
    <definedName name="solver_num" localSheetId="0" hidden="1">4</definedName>
    <definedName name="solver_nwt" localSheetId="1" hidden="1">1</definedName>
    <definedName name="solver_nwt" localSheetId="0" hidden="1">1</definedName>
    <definedName name="solver_opt" localSheetId="1" hidden="1">ui!$I$12</definedName>
    <definedName name="solver_opt" localSheetId="0" hidden="1">'ui = infinity'!$H$9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bv" localSheetId="0" hidden="1">1</definedName>
    <definedName name="solver_rel1" localSheetId="1" hidden="1">5</definedName>
    <definedName name="solver_rel1" localSheetId="0" hidden="1">5</definedName>
    <definedName name="solver_rel2" localSheetId="1" hidden="1">5</definedName>
    <definedName name="solver_rel2" localSheetId="0" hidden="1">5</definedName>
    <definedName name="solver_rel3" localSheetId="1" hidden="1">5</definedName>
    <definedName name="solver_rel3" localSheetId="0" hidden="1">5</definedName>
    <definedName name="solver_rel4" localSheetId="1" hidden="1">5</definedName>
    <definedName name="solver_rel4" localSheetId="0" hidden="1">1</definedName>
    <definedName name="solver_rel5" localSheetId="1" hidden="1">5</definedName>
    <definedName name="solver_rel6" localSheetId="1" hidden="1">1</definedName>
    <definedName name="solver_rel7" localSheetId="1" hidden="1">1</definedName>
    <definedName name="solver_rel8" localSheetId="1" hidden="1">1</definedName>
    <definedName name="solver_rhs1" localSheetId="1" hidden="1">binary</definedName>
    <definedName name="solver_rhs1" localSheetId="0" hidden="1">binary</definedName>
    <definedName name="solver_rhs2" localSheetId="1" hidden="1">binary</definedName>
    <definedName name="solver_rhs2" localSheetId="0" hidden="1">binary</definedName>
    <definedName name="solver_rhs3" localSheetId="1" hidden="1">binary</definedName>
    <definedName name="solver_rhs3" localSheetId="0" hidden="1">binary</definedName>
    <definedName name="solver_rhs4" localSheetId="1" hidden="1">binary</definedName>
    <definedName name="solver_rhs4" localSheetId="0" hidden="1">'ui = infinity'!$I$11</definedName>
    <definedName name="solver_rhs5" localSheetId="1" hidden="1">binary</definedName>
    <definedName name="solver_rhs6" localSheetId="1" hidden="1">ui!$J$14</definedName>
    <definedName name="solver_rhs7" localSheetId="1" hidden="1">ui!$J$15</definedName>
    <definedName name="solver_rhs8" localSheetId="1" hidden="1">ui!$J$16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3" l="1"/>
  <c r="C21" i="3"/>
  <c r="H11" i="2"/>
  <c r="G11" i="2"/>
  <c r="G21" i="4" l="1"/>
  <c r="B29" i="4"/>
  <c r="B30" i="4"/>
  <c r="B31" i="4"/>
  <c r="B32" i="4"/>
  <c r="B28" i="4"/>
  <c r="C28" i="4" s="1"/>
  <c r="E28" i="4" s="1"/>
  <c r="D24" i="4"/>
  <c r="B27" i="4"/>
  <c r="B26" i="4"/>
  <c r="B25" i="4"/>
  <c r="B24" i="4"/>
  <c r="D21" i="4"/>
  <c r="B23" i="4"/>
  <c r="B22" i="4"/>
  <c r="D19" i="4"/>
  <c r="D18" i="4"/>
  <c r="B21" i="4"/>
  <c r="B20" i="4"/>
  <c r="B19" i="4"/>
  <c r="B18" i="4"/>
  <c r="E6" i="4"/>
  <c r="E7" i="4"/>
  <c r="E8" i="4"/>
  <c r="E9" i="4"/>
  <c r="D8" i="4"/>
  <c r="D9" i="4"/>
  <c r="E5" i="4"/>
  <c r="E17" i="3"/>
  <c r="E15" i="3"/>
  <c r="E14" i="3"/>
  <c r="E5" i="3"/>
  <c r="D5" i="3"/>
  <c r="D14" i="3" s="1"/>
  <c r="F14" i="3" s="1"/>
  <c r="D4" i="3"/>
  <c r="F4" i="3" s="1"/>
  <c r="F3" i="3"/>
  <c r="D3" i="3"/>
  <c r="C21" i="4" l="1"/>
  <c r="C24" i="4"/>
  <c r="E24" i="4" s="1"/>
  <c r="E21" i="4"/>
  <c r="D7" i="4"/>
  <c r="D6" i="4"/>
  <c r="D5" i="4"/>
  <c r="E4" i="3"/>
  <c r="C18" i="3" s="1"/>
  <c r="F5" i="3"/>
  <c r="E3" i="3"/>
  <c r="I16" i="2"/>
  <c r="I15" i="2"/>
  <c r="I14" i="2"/>
  <c r="H14" i="2"/>
  <c r="G14" i="2"/>
  <c r="F14" i="2"/>
  <c r="E14" i="2"/>
  <c r="D14" i="2"/>
  <c r="I12" i="2"/>
  <c r="F11" i="2"/>
  <c r="E11" i="2"/>
  <c r="D11" i="2"/>
  <c r="M7" i="2"/>
  <c r="M8" i="2"/>
  <c r="M6" i="2"/>
  <c r="K7" i="2"/>
  <c r="K8" i="2"/>
  <c r="K6" i="2"/>
  <c r="C18" i="4" l="1"/>
  <c r="E18" i="4" s="1"/>
  <c r="C19" i="4"/>
  <c r="C17" i="3"/>
  <c r="C15" i="3"/>
  <c r="C19" i="3"/>
  <c r="C16" i="3"/>
  <c r="H11" i="1"/>
  <c r="H9" i="1"/>
  <c r="F8" i="1"/>
  <c r="E8" i="1"/>
  <c r="D8" i="1"/>
  <c r="J4" i="1"/>
  <c r="J5" i="1"/>
  <c r="J3" i="1"/>
  <c r="I4" i="1"/>
  <c r="I5" i="1"/>
  <c r="I3" i="1"/>
  <c r="E19" i="4" l="1"/>
  <c r="D15" i="3"/>
  <c r="F15" i="3" s="1"/>
  <c r="D17" i="3"/>
  <c r="F17" i="3" s="1"/>
</calcChain>
</file>

<file path=xl/sharedStrings.xml><?xml version="1.0" encoding="utf-8"?>
<sst xmlns="http://schemas.openxmlformats.org/spreadsheetml/2006/main" count="94" uniqueCount="53">
  <si>
    <t>A</t>
  </si>
  <si>
    <t>B</t>
  </si>
  <si>
    <t>C</t>
  </si>
  <si>
    <t>SKU</t>
  </si>
  <si>
    <t>Pi</t>
  </si>
  <si>
    <t>di</t>
  </si>
  <si>
    <t>li</t>
  </si>
  <si>
    <t>c1=</t>
  </si>
  <si>
    <t>c2=</t>
  </si>
  <si>
    <t>N=</t>
  </si>
  <si>
    <t>Savings</t>
  </si>
  <si>
    <t>cr=</t>
  </si>
  <si>
    <t>Savings per location</t>
  </si>
  <si>
    <t>x1</t>
  </si>
  <si>
    <t>x2</t>
  </si>
  <si>
    <t>x3</t>
  </si>
  <si>
    <t>ui</t>
  </si>
  <si>
    <t>pi</t>
  </si>
  <si>
    <t>Di</t>
  </si>
  <si>
    <t>Savings (li)</t>
  </si>
  <si>
    <t>Savings (ui)</t>
  </si>
  <si>
    <t>Picking area bins</t>
  </si>
  <si>
    <t>z3</t>
  </si>
  <si>
    <t>y1</t>
  </si>
  <si>
    <t>y2</t>
  </si>
  <si>
    <t>Κινήσεις Συλλογής pi</t>
  </si>
  <si>
    <t>Ζήτηση di</t>
  </si>
  <si>
    <t>Κανονικοποιημένη Ζήτηση fi</t>
  </si>
  <si>
    <t>sqrt(fi)</t>
  </si>
  <si>
    <t>pi/sqrt(fi)</t>
  </si>
  <si>
    <t>Rank</t>
  </si>
  <si>
    <t>V</t>
  </si>
  <si>
    <t>c1</t>
  </si>
  <si>
    <t>c2</t>
  </si>
  <si>
    <t>cr</t>
  </si>
  <si>
    <t>S=</t>
  </si>
  <si>
    <t>Elements</t>
  </si>
  <si>
    <t>Cost 1st term</t>
  </si>
  <si>
    <t>Cost 2nd term</t>
  </si>
  <si>
    <t>Cost</t>
  </si>
  <si>
    <t>C,A</t>
  </si>
  <si>
    <t>C,A,B</t>
  </si>
  <si>
    <t>D</t>
  </si>
  <si>
    <t>E</t>
  </si>
  <si>
    <t>σ</t>
  </si>
  <si>
    <t>A,B</t>
  </si>
  <si>
    <t>A,B,C</t>
  </si>
  <si>
    <t>A, B, C, E</t>
  </si>
  <si>
    <t>A, B, C,D,E</t>
  </si>
  <si>
    <t>V=</t>
  </si>
  <si>
    <t>V(A)=</t>
  </si>
  <si>
    <t>V(C )=</t>
  </si>
  <si>
    <t>Ζήτηση 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</si>
</sst>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0" borderId="2" xfId="0" applyFont="1" applyBorder="1"/>
    <xf numFmtId="0" fontId="1" fillId="0" borderId="2" xfId="0" applyFont="1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3" borderId="0" xfId="0" applyNumberFormat="1" applyFill="1"/>
    <xf numFmtId="0" fontId="1" fillId="0" borderId="0" xfId="0" applyFont="1"/>
    <xf numFmtId="0" fontId="0" fillId="6" borderId="0" xfId="0" applyFill="1"/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164" fontId="3" fillId="0" borderId="1" xfId="0" applyNumberFormat="1" applyFont="1" applyBorder="1" applyAlignment="1">
      <alignment horizontal="right" vertical="center" wrapText="1"/>
    </xf>
    <xf numFmtId="2" fontId="0" fillId="0" borderId="0" xfId="0" applyNumberFormat="1"/>
    <xf numFmtId="2" fontId="3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1" fontId="0" fillId="7" borderId="0" xfId="0" applyNumberFormat="1" applyFill="1"/>
    <xf numFmtId="0" fontId="1" fillId="0" borderId="1" xfId="0" applyFont="1" applyBorder="1"/>
    <xf numFmtId="0" fontId="1" fillId="7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1181100</xdr:colOff>
      <xdr:row>7</xdr:row>
      <xdr:rowOff>38100</xdr:rowOff>
    </xdr:from>
    <xdr:to>
      <xdr:col>14</xdr:col>
      <xdr:colOff>180638</xdr:colOff>
      <xdr:row>13</xdr:row>
      <xdr:rowOff>114148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2E149-ECB2-4C62-8F80-44350DB5D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5" y="1371600"/>
          <a:ext cx="2695238" cy="12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0</xdr:row>
      <xdr:rowOff>133350</xdr:rowOff>
    </xdr:from>
    <xdr:to>
      <xdr:col>10</xdr:col>
      <xdr:colOff>790479</xdr:colOff>
      <xdr:row>4</xdr:row>
      <xdr:rowOff>9445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8BB622-E027-449E-831C-27FF3AC3E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5" y="133350"/>
          <a:ext cx="771429" cy="638095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0</xdr:row>
      <xdr:rowOff>0</xdr:rowOff>
    </xdr:from>
    <xdr:to>
      <xdr:col>13</xdr:col>
      <xdr:colOff>28471</xdr:colOff>
      <xdr:row>3</xdr:row>
      <xdr:rowOff>161833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86D971-F222-46F8-B33B-8CD266EF0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7525" y="0"/>
          <a:ext cx="828571" cy="733333"/>
        </a:xfrm>
        <a:prstGeom prst="rect">
          <a:avLst/>
        </a:prstGeom>
      </xdr:spPr>
    </xdr:pic>
    <xdr:clientData/>
  </xdr:twoCellAnchor>
  <xdr:twoCellAnchor editAs="oneCell">
    <xdr:from>
      <xdr:col>12</xdr:col>
      <xdr:colOff>400050</xdr:colOff>
      <xdr:row>9</xdr:row>
      <xdr:rowOff>133350</xdr:rowOff>
    </xdr:from>
    <xdr:to>
      <xdr:col>20</xdr:col>
      <xdr:colOff>237498</xdr:colOff>
      <xdr:row>18</xdr:row>
      <xdr:rowOff>18850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7421E4-ACAD-410A-B4A0-9F4D0166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72325" y="1847850"/>
          <a:ext cx="5019048" cy="1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609599</xdr:colOff>
      <xdr:row>0</xdr:row>
      <xdr:rowOff>369308</xdr:rowOff>
    </xdr:from>
    <xdr:to>
      <xdr:col>20</xdr:col>
      <xdr:colOff>192404</xdr:colOff>
      <xdr:row>15</xdr:row>
      <xdr:rowOff>160020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D4ACCB-7A63-4E7B-BC5A-0442F37D6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174" y="369308"/>
          <a:ext cx="7507605" cy="3410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590550</xdr:colOff>
      <xdr:row>2</xdr:row>
      <xdr:rowOff>133350</xdr:rowOff>
    </xdr:from>
    <xdr:to>
      <xdr:col>21</xdr:col>
      <xdr:colOff>179959</xdr:colOff>
      <xdr:row>21</xdr:row>
      <xdr:rowOff>170990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E88DBE-37DE-435C-AA60-87C55E44B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7350" y="514350"/>
          <a:ext cx="8123809" cy="3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09B00-A021-4461-915B-86E0DED44BED}">
  <dimension ref="A2:J11"/>
  <sheetViews>
    <sheetView workbookViewId="0">
      <selection activeCell="I3" sqref="I3"/>
    </sheetView>
  </sheetViews>
  <sheetFormatPr defaultRowHeight="15" x14ac:dyDescent="0.25"/>
  <cols>
    <col min="8" max="8" width="5" bestFit="1" customWidth="1"/>
    <col min="10" max="10" width="18.85546875" bestFit="1" customWidth="1"/>
  </cols>
  <sheetData>
    <row r="2" spans="1:10" x14ac:dyDescent="0.25">
      <c r="A2" s="1" t="s">
        <v>7</v>
      </c>
      <c r="B2" s="2">
        <v>1</v>
      </c>
      <c r="D2" s="3" t="s">
        <v>3</v>
      </c>
      <c r="E2" s="3" t="s">
        <v>4</v>
      </c>
      <c r="F2" s="3" t="s">
        <v>5</v>
      </c>
      <c r="G2" s="3" t="s">
        <v>6</v>
      </c>
      <c r="I2" s="4" t="s">
        <v>10</v>
      </c>
      <c r="J2" s="3" t="s">
        <v>12</v>
      </c>
    </row>
    <row r="3" spans="1:10" x14ac:dyDescent="0.25">
      <c r="A3" s="1" t="s">
        <v>8</v>
      </c>
      <c r="B3" s="2">
        <v>2</v>
      </c>
      <c r="D3" t="s">
        <v>0</v>
      </c>
      <c r="E3">
        <v>600</v>
      </c>
      <c r="F3">
        <v>20</v>
      </c>
      <c r="G3">
        <v>3</v>
      </c>
      <c r="I3">
        <f>($B$3-$B$2)*E3-$B$4*F3</f>
        <v>540</v>
      </c>
      <c r="J3" s="5">
        <f>I3/G3</f>
        <v>180</v>
      </c>
    </row>
    <row r="4" spans="1:10" x14ac:dyDescent="0.25">
      <c r="A4" s="1" t="s">
        <v>11</v>
      </c>
      <c r="B4" s="2">
        <v>3</v>
      </c>
      <c r="D4" t="s">
        <v>1</v>
      </c>
      <c r="E4">
        <v>1000</v>
      </c>
      <c r="F4">
        <v>100</v>
      </c>
      <c r="G4">
        <v>5</v>
      </c>
      <c r="I4">
        <f t="shared" ref="I4:I5" si="0">($B$3-$B$2)*E4-$B$4*F4</f>
        <v>700</v>
      </c>
      <c r="J4" s="5">
        <f t="shared" ref="J4:J5" si="1">I4/G4</f>
        <v>140</v>
      </c>
    </row>
    <row r="5" spans="1:10" x14ac:dyDescent="0.25">
      <c r="A5" s="1" t="s">
        <v>9</v>
      </c>
      <c r="B5" s="2">
        <v>8</v>
      </c>
      <c r="D5" t="s">
        <v>2</v>
      </c>
      <c r="E5">
        <v>200</v>
      </c>
      <c r="F5">
        <v>2</v>
      </c>
      <c r="G5">
        <v>2</v>
      </c>
      <c r="I5">
        <f t="shared" si="0"/>
        <v>194</v>
      </c>
      <c r="J5" s="6">
        <f t="shared" si="1"/>
        <v>97</v>
      </c>
    </row>
    <row r="7" spans="1:10" x14ac:dyDescent="0.25">
      <c r="D7" t="s">
        <v>13</v>
      </c>
      <c r="E7" t="s">
        <v>14</v>
      </c>
      <c r="F7" t="s">
        <v>15</v>
      </c>
    </row>
    <row r="8" spans="1:10" x14ac:dyDescent="0.25">
      <c r="D8">
        <f>I3</f>
        <v>540</v>
      </c>
      <c r="E8">
        <f>I4</f>
        <v>700</v>
      </c>
      <c r="F8">
        <f>I5</f>
        <v>194</v>
      </c>
    </row>
    <row r="9" spans="1:10" x14ac:dyDescent="0.25">
      <c r="D9" s="7">
        <v>1</v>
      </c>
      <c r="E9" s="7">
        <v>1</v>
      </c>
      <c r="F9" s="7">
        <v>0</v>
      </c>
      <c r="H9">
        <f>SUMPRODUCT(D8:F8,D9:F9)</f>
        <v>1240</v>
      </c>
    </row>
    <row r="11" spans="1:10" x14ac:dyDescent="0.25">
      <c r="D11">
        <v>3</v>
      </c>
      <c r="E11">
        <v>5</v>
      </c>
      <c r="F11">
        <v>2</v>
      </c>
      <c r="H11">
        <f>SUMPRODUCT(D11:F11,D9:F9)</f>
        <v>8</v>
      </c>
      <c r="I11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9BC88-776A-48A4-AEBA-AFC40BAD1057}">
  <dimension ref="A5:O16"/>
  <sheetViews>
    <sheetView workbookViewId="0">
      <selection activeCell="D19" sqref="D19"/>
    </sheetView>
  </sheetViews>
  <sheetFormatPr defaultRowHeight="15" x14ac:dyDescent="0.25"/>
  <cols>
    <col min="10" max="10" width="5" bestFit="1" customWidth="1"/>
    <col min="11" max="11" width="12.5703125" customWidth="1"/>
    <col min="12" max="12" width="1.7109375" customWidth="1"/>
    <col min="13" max="13" width="13.42578125" customWidth="1"/>
    <col min="14" max="14" width="2.140625" customWidth="1"/>
    <col min="15" max="15" width="16.42578125" bestFit="1" customWidth="1"/>
  </cols>
  <sheetData>
    <row r="5" spans="1:15" x14ac:dyDescent="0.25">
      <c r="A5" s="1" t="s">
        <v>7</v>
      </c>
      <c r="B5" s="2">
        <v>1</v>
      </c>
      <c r="D5" s="3" t="s">
        <v>3</v>
      </c>
      <c r="E5" s="3" t="s">
        <v>17</v>
      </c>
      <c r="F5" s="3" t="s">
        <v>18</v>
      </c>
      <c r="G5" s="3" t="s">
        <v>5</v>
      </c>
      <c r="H5" s="3" t="s">
        <v>6</v>
      </c>
      <c r="I5" s="3" t="s">
        <v>16</v>
      </c>
      <c r="K5" s="4" t="s">
        <v>19</v>
      </c>
      <c r="M5" s="4" t="s">
        <v>20</v>
      </c>
      <c r="O5" s="3" t="s">
        <v>21</v>
      </c>
    </row>
    <row r="6" spans="1:15" x14ac:dyDescent="0.25">
      <c r="A6" s="1" t="s">
        <v>8</v>
      </c>
      <c r="B6" s="2">
        <v>2</v>
      </c>
      <c r="D6" t="s">
        <v>0</v>
      </c>
      <c r="E6">
        <v>600</v>
      </c>
      <c r="F6">
        <v>30</v>
      </c>
      <c r="G6">
        <v>40</v>
      </c>
      <c r="H6">
        <v>2</v>
      </c>
      <c r="I6">
        <v>8</v>
      </c>
      <c r="K6" s="5">
        <f>(($B$6-$B$5)*E6-$B$7*G6)/H6</f>
        <v>100</v>
      </c>
      <c r="M6">
        <f>($B$6-$B$5)*(E6+F6)/I6</f>
        <v>78.75</v>
      </c>
    </row>
    <row r="7" spans="1:15" x14ac:dyDescent="0.25">
      <c r="A7" s="1" t="s">
        <v>11</v>
      </c>
      <c r="B7" s="2">
        <v>10</v>
      </c>
      <c r="D7" t="s">
        <v>1</v>
      </c>
      <c r="E7">
        <v>1000</v>
      </c>
      <c r="F7">
        <v>20</v>
      </c>
      <c r="G7">
        <v>50</v>
      </c>
      <c r="H7">
        <v>4</v>
      </c>
      <c r="I7">
        <v>20</v>
      </c>
      <c r="K7" s="5">
        <f t="shared" ref="K7:K8" si="0">(($B$6-$B$5)*E7-$B$7*G7)/H7</f>
        <v>125</v>
      </c>
      <c r="M7">
        <f t="shared" ref="M7:M8" si="1">($B$6-$B$5)*(E7+F7)/I7</f>
        <v>51</v>
      </c>
      <c r="O7" s="9">
        <v>4</v>
      </c>
    </row>
    <row r="8" spans="1:15" x14ac:dyDescent="0.25">
      <c r="A8" s="1" t="s">
        <v>9</v>
      </c>
      <c r="B8" s="2">
        <v>7</v>
      </c>
      <c r="D8" t="s">
        <v>2</v>
      </c>
      <c r="E8">
        <v>300</v>
      </c>
      <c r="F8">
        <v>200</v>
      </c>
      <c r="G8">
        <v>2</v>
      </c>
      <c r="H8">
        <v>2</v>
      </c>
      <c r="I8">
        <v>3</v>
      </c>
      <c r="K8">
        <f t="shared" si="0"/>
        <v>140</v>
      </c>
      <c r="M8" s="8">
        <f t="shared" si="1"/>
        <v>166.66666666666666</v>
      </c>
      <c r="O8" s="9">
        <v>3</v>
      </c>
    </row>
    <row r="10" spans="1:15" x14ac:dyDescent="0.25">
      <c r="D10" t="s">
        <v>22</v>
      </c>
      <c r="E10" t="s">
        <v>13</v>
      </c>
      <c r="F10" t="s">
        <v>14</v>
      </c>
      <c r="G10" t="s">
        <v>23</v>
      </c>
      <c r="H10" t="s">
        <v>24</v>
      </c>
    </row>
    <row r="11" spans="1:15" x14ac:dyDescent="0.25">
      <c r="D11">
        <f>M8*I8</f>
        <v>500</v>
      </c>
      <c r="E11">
        <f>K6*H6</f>
        <v>200</v>
      </c>
      <c r="F11">
        <f>K7*H7</f>
        <v>500</v>
      </c>
      <c r="G11">
        <f>($B$6-$B$5)*F6+$B$7*G6</f>
        <v>430</v>
      </c>
      <c r="H11">
        <f>($B$6-$B$5)*F7+$B$7*G7</f>
        <v>520</v>
      </c>
    </row>
    <row r="12" spans="1:15" x14ac:dyDescent="0.25">
      <c r="D12" s="10">
        <v>1</v>
      </c>
      <c r="E12" s="10">
        <v>0</v>
      </c>
      <c r="F12" s="10">
        <v>1</v>
      </c>
      <c r="G12" s="10">
        <v>0</v>
      </c>
      <c r="H12" s="10">
        <v>0</v>
      </c>
      <c r="I12">
        <f>SUMPRODUCT(D11:H11,D12:H12)</f>
        <v>1000</v>
      </c>
    </row>
    <row r="14" spans="1:15" x14ac:dyDescent="0.25">
      <c r="D14">
        <f>I8</f>
        <v>3</v>
      </c>
      <c r="E14">
        <f>H6</f>
        <v>2</v>
      </c>
      <c r="F14">
        <f>H7</f>
        <v>4</v>
      </c>
      <c r="G14">
        <f>(I6-H6)</f>
        <v>6</v>
      </c>
      <c r="H14">
        <f>I7-H7</f>
        <v>16</v>
      </c>
      <c r="I14">
        <f>SUMPRODUCT(D14:H14,D12:H12)</f>
        <v>7</v>
      </c>
      <c r="J14">
        <v>7</v>
      </c>
    </row>
    <row r="15" spans="1:15" x14ac:dyDescent="0.25">
      <c r="E15">
        <v>-1</v>
      </c>
      <c r="G15">
        <v>1</v>
      </c>
      <c r="I15">
        <f>SUMPRODUCT(D15:H15,D12:H12)</f>
        <v>0</v>
      </c>
      <c r="J15">
        <v>0</v>
      </c>
    </row>
    <row r="16" spans="1:15" x14ac:dyDescent="0.25">
      <c r="F16">
        <v>-1</v>
      </c>
      <c r="H16">
        <v>1</v>
      </c>
      <c r="I16">
        <f>SUMPRODUCT(D16:H16,D12:H12)</f>
        <v>-1</v>
      </c>
      <c r="J16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626C5-3459-455D-B415-C47B89641744}">
  <dimension ref="A1:G22"/>
  <sheetViews>
    <sheetView workbookViewId="0">
      <selection activeCell="F15" sqref="F15"/>
    </sheetView>
  </sheetViews>
  <sheetFormatPr defaultRowHeight="15" x14ac:dyDescent="0.25"/>
  <cols>
    <col min="3" max="3" width="7.85546875" customWidth="1"/>
    <col min="4" max="4" width="8.42578125" bestFit="1" customWidth="1"/>
    <col min="6" max="6" width="10.42578125" customWidth="1"/>
  </cols>
  <sheetData>
    <row r="1" spans="1:7" ht="60" customHeight="1" x14ac:dyDescent="0.25">
      <c r="A1" s="32" t="s">
        <v>3</v>
      </c>
      <c r="B1" s="32" t="s">
        <v>25</v>
      </c>
      <c r="C1" s="30" t="s">
        <v>26</v>
      </c>
      <c r="D1" s="30" t="s">
        <v>27</v>
      </c>
      <c r="E1" s="30" t="s">
        <v>28</v>
      </c>
      <c r="F1" s="30" t="s">
        <v>29</v>
      </c>
      <c r="G1" s="30" t="s">
        <v>30</v>
      </c>
    </row>
    <row r="2" spans="1:7" x14ac:dyDescent="0.25">
      <c r="A2" s="32"/>
      <c r="B2" s="32"/>
      <c r="C2" s="31"/>
      <c r="D2" s="31"/>
      <c r="E2" s="31"/>
      <c r="F2" s="31"/>
      <c r="G2" s="31"/>
    </row>
    <row r="3" spans="1:7" x14ac:dyDescent="0.25">
      <c r="A3" s="11" t="s">
        <v>0</v>
      </c>
      <c r="B3" s="11">
        <v>600</v>
      </c>
      <c r="C3" s="11">
        <v>8000</v>
      </c>
      <c r="D3" s="11">
        <f>C3/$B$7</f>
        <v>4</v>
      </c>
      <c r="E3" s="33">
        <f>SQRT(D3)</f>
        <v>2</v>
      </c>
      <c r="F3" s="12">
        <f>B3/SQRT(D3)</f>
        <v>300</v>
      </c>
      <c r="G3" s="2">
        <v>2</v>
      </c>
    </row>
    <row r="4" spans="1:7" x14ac:dyDescent="0.25">
      <c r="A4" s="11" t="s">
        <v>1</v>
      </c>
      <c r="B4" s="11">
        <v>10</v>
      </c>
      <c r="C4" s="11">
        <v>20000</v>
      </c>
      <c r="D4" s="11">
        <f>C4/$B$7</f>
        <v>10</v>
      </c>
      <c r="E4" s="33">
        <f t="shared" ref="E4:E5" si="0">SQRT(D4)</f>
        <v>3.1622776601683795</v>
      </c>
      <c r="F4" s="12">
        <f>B4/SQRT(D4)</f>
        <v>3.1622776601683791</v>
      </c>
      <c r="G4" s="2">
        <v>3</v>
      </c>
    </row>
    <row r="5" spans="1:7" x14ac:dyDescent="0.25">
      <c r="A5" s="11" t="s">
        <v>2</v>
      </c>
      <c r="B5" s="11">
        <v>2000</v>
      </c>
      <c r="C5" s="11">
        <v>4000</v>
      </c>
      <c r="D5" s="11">
        <f>C5/$B$7</f>
        <v>2</v>
      </c>
      <c r="E5" s="33">
        <f t="shared" si="0"/>
        <v>1.4142135623730951</v>
      </c>
      <c r="F5" s="12">
        <f>B5/SQRT(D5)</f>
        <v>1414.2135623730949</v>
      </c>
      <c r="G5" s="2">
        <v>1</v>
      </c>
    </row>
    <row r="6" spans="1:7" x14ac:dyDescent="0.25">
      <c r="A6" s="13"/>
      <c r="B6" s="13"/>
      <c r="C6" s="13"/>
      <c r="D6" s="13"/>
      <c r="E6" s="14"/>
      <c r="F6" s="15"/>
    </row>
    <row r="7" spans="1:7" x14ac:dyDescent="0.25">
      <c r="A7" s="16" t="s">
        <v>31</v>
      </c>
      <c r="B7" s="11">
        <v>2000</v>
      </c>
    </row>
    <row r="8" spans="1:7" x14ac:dyDescent="0.25">
      <c r="A8" s="16" t="s">
        <v>32</v>
      </c>
      <c r="B8" s="11">
        <v>0.1</v>
      </c>
    </row>
    <row r="9" spans="1:7" x14ac:dyDescent="0.25">
      <c r="A9" s="16" t="s">
        <v>33</v>
      </c>
      <c r="B9" s="11">
        <v>1.5</v>
      </c>
    </row>
    <row r="10" spans="1:7" x14ac:dyDescent="0.25">
      <c r="A10" s="16" t="s">
        <v>34</v>
      </c>
      <c r="B10" s="11">
        <v>3</v>
      </c>
    </row>
    <row r="12" spans="1:7" ht="30" customHeight="1" x14ac:dyDescent="0.25">
      <c r="A12" s="30" t="s">
        <v>35</v>
      </c>
      <c r="B12" s="30" t="s">
        <v>36</v>
      </c>
      <c r="C12" s="30" t="s">
        <v>16</v>
      </c>
      <c r="D12" s="30" t="s">
        <v>37</v>
      </c>
      <c r="E12" s="30" t="s">
        <v>38</v>
      </c>
      <c r="F12" s="30" t="s">
        <v>39</v>
      </c>
    </row>
    <row r="13" spans="1:7" x14ac:dyDescent="0.25">
      <c r="A13" s="31"/>
      <c r="B13" s="31"/>
      <c r="C13" s="31"/>
      <c r="D13" s="31"/>
      <c r="E13" s="31"/>
      <c r="F13" s="31"/>
    </row>
    <row r="14" spans="1:7" x14ac:dyDescent="0.25">
      <c r="A14" s="17" t="s">
        <v>2</v>
      </c>
      <c r="B14" t="s">
        <v>2</v>
      </c>
      <c r="C14" s="13">
        <v>1</v>
      </c>
      <c r="D14">
        <f>$B$8*B5+$B$10*D5/C14</f>
        <v>206</v>
      </c>
      <c r="E14">
        <f>$B$9*(B3+B4)</f>
        <v>915</v>
      </c>
      <c r="F14" s="18">
        <f>D14+E14</f>
        <v>1121</v>
      </c>
    </row>
    <row r="15" spans="1:7" x14ac:dyDescent="0.25">
      <c r="A15" s="34" t="s">
        <v>40</v>
      </c>
      <c r="B15" t="s">
        <v>0</v>
      </c>
      <c r="C15">
        <f>E3/($E$3+$E$5)</f>
        <v>0.58578643762690497</v>
      </c>
      <c r="D15">
        <f>$B$8*(B5+B3)+$B$10*(D3/C15+D5/C16)</f>
        <v>294.97056274847716</v>
      </c>
      <c r="E15">
        <f>$B$9*(B4)</f>
        <v>15</v>
      </c>
      <c r="F15" s="27">
        <f>D15+E15</f>
        <v>309.97056274847716</v>
      </c>
    </row>
    <row r="16" spans="1:7" x14ac:dyDescent="0.25">
      <c r="A16" s="34"/>
      <c r="B16" t="s">
        <v>2</v>
      </c>
      <c r="C16">
        <f>E5/($E$3+$E$5)</f>
        <v>0.41421356237309509</v>
      </c>
      <c r="F16" s="18"/>
    </row>
    <row r="17" spans="1:6" x14ac:dyDescent="0.25">
      <c r="A17" s="13" t="s">
        <v>41</v>
      </c>
      <c r="B17" t="s">
        <v>0</v>
      </c>
      <c r="C17">
        <f>E3/($E$3+$E$5+$E$4)</f>
        <v>0.30411353597566321</v>
      </c>
      <c r="D17">
        <f>$B$8*(B3+B4+B5)+$B$10*(D3/C17+D4/C18+D5/C19)</f>
        <v>390.75071040049517</v>
      </c>
      <c r="E17">
        <f>$B$9*(0)</f>
        <v>0</v>
      </c>
      <c r="F17" s="18">
        <f>D17+E17</f>
        <v>390.75071040049517</v>
      </c>
    </row>
    <row r="18" spans="1:6" x14ac:dyDescent="0.25">
      <c r="B18" t="s">
        <v>1</v>
      </c>
      <c r="C18">
        <f t="shared" ref="C18:C19" si="1">E4/($E$3+$E$5+$E$4)</f>
        <v>0.48084572048532631</v>
      </c>
      <c r="F18" s="18"/>
    </row>
    <row r="19" spans="1:6" x14ac:dyDescent="0.25">
      <c r="B19" t="s">
        <v>2</v>
      </c>
      <c r="C19">
        <f t="shared" si="1"/>
        <v>0.21504074353901056</v>
      </c>
      <c r="F19" s="18"/>
    </row>
    <row r="21" spans="1:6" x14ac:dyDescent="0.25">
      <c r="B21" s="1" t="s">
        <v>50</v>
      </c>
      <c r="C21" s="28">
        <f>C15*$B$7</f>
        <v>1171.57287525381</v>
      </c>
    </row>
    <row r="22" spans="1:6" x14ac:dyDescent="0.25">
      <c r="B22" s="1" t="s">
        <v>51</v>
      </c>
      <c r="C22" s="28">
        <f>C16*$B$7</f>
        <v>828.4271247461902</v>
      </c>
    </row>
  </sheetData>
  <mergeCells count="14">
    <mergeCell ref="A15:A16"/>
    <mergeCell ref="G1:G2"/>
    <mergeCell ref="A12:A13"/>
    <mergeCell ref="B12:B13"/>
    <mergeCell ref="C12:C13"/>
    <mergeCell ref="D12:D13"/>
    <mergeCell ref="E12:E13"/>
    <mergeCell ref="F12:F13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EF74F-0204-488D-95C4-AFBE7A865C0E}">
  <dimension ref="A3:G32"/>
  <sheetViews>
    <sheetView tabSelected="1" workbookViewId="0">
      <selection activeCell="F13" sqref="F13"/>
    </sheetView>
  </sheetViews>
  <sheetFormatPr defaultRowHeight="15" x14ac:dyDescent="0.25"/>
  <cols>
    <col min="1" max="1" width="10" bestFit="1" customWidth="1"/>
    <col min="3" max="3" width="12.5703125" bestFit="1" customWidth="1"/>
    <col min="5" max="5" width="11.7109375" customWidth="1"/>
  </cols>
  <sheetData>
    <row r="3" spans="1:6" x14ac:dyDescent="0.25">
      <c r="A3" s="32" t="s">
        <v>3</v>
      </c>
      <c r="B3" s="32" t="s">
        <v>25</v>
      </c>
      <c r="C3" s="30" t="s">
        <v>52</v>
      </c>
      <c r="D3" s="30" t="s">
        <v>28</v>
      </c>
      <c r="E3" s="30" t="s">
        <v>29</v>
      </c>
      <c r="F3" s="30" t="s">
        <v>30</v>
      </c>
    </row>
    <row r="4" spans="1:6" x14ac:dyDescent="0.25">
      <c r="A4" s="32"/>
      <c r="B4" s="32"/>
      <c r="C4" s="31"/>
      <c r="D4" s="31"/>
      <c r="E4" s="31"/>
      <c r="F4" s="31"/>
    </row>
    <row r="5" spans="1:6" x14ac:dyDescent="0.25">
      <c r="A5" s="11" t="s">
        <v>0</v>
      </c>
      <c r="B5" s="20">
        <v>600</v>
      </c>
      <c r="C5" s="20">
        <v>10</v>
      </c>
      <c r="D5" s="23">
        <f>SQRT(C5)</f>
        <v>3.1622776601683795</v>
      </c>
      <c r="E5" s="12">
        <f>B5/SQRT(C5)</f>
        <v>189.73665961010275</v>
      </c>
      <c r="F5" s="2">
        <v>1</v>
      </c>
    </row>
    <row r="6" spans="1:6" x14ac:dyDescent="0.25">
      <c r="A6" s="11" t="s">
        <v>1</v>
      </c>
      <c r="B6" s="20">
        <v>1000</v>
      </c>
      <c r="C6" s="20">
        <v>30</v>
      </c>
      <c r="D6" s="23">
        <f t="shared" ref="D6:D9" si="0">SQRT(C6)</f>
        <v>5.4772255750516612</v>
      </c>
      <c r="E6" s="12">
        <f t="shared" ref="E6:E9" si="1">B6/SQRT(C6)</f>
        <v>182.57418583505537</v>
      </c>
      <c r="F6" s="2">
        <v>2</v>
      </c>
    </row>
    <row r="7" spans="1:6" x14ac:dyDescent="0.25">
      <c r="A7" s="11" t="s">
        <v>2</v>
      </c>
      <c r="B7" s="20">
        <v>200</v>
      </c>
      <c r="C7" s="20">
        <v>2</v>
      </c>
      <c r="D7" s="23">
        <f t="shared" si="0"/>
        <v>1.4142135623730951</v>
      </c>
      <c r="E7" s="12">
        <f t="shared" si="1"/>
        <v>141.42135623730948</v>
      </c>
      <c r="F7" s="2">
        <v>3</v>
      </c>
    </row>
    <row r="8" spans="1:6" x14ac:dyDescent="0.25">
      <c r="A8" s="19" t="s">
        <v>42</v>
      </c>
      <c r="B8" s="21">
        <v>100</v>
      </c>
      <c r="C8" s="22">
        <v>10</v>
      </c>
      <c r="D8" s="23">
        <f t="shared" si="0"/>
        <v>3.1622776601683795</v>
      </c>
      <c r="E8" s="12">
        <f t="shared" si="1"/>
        <v>31.622776601683793</v>
      </c>
      <c r="F8" s="2">
        <v>5</v>
      </c>
    </row>
    <row r="9" spans="1:6" x14ac:dyDescent="0.25">
      <c r="A9" s="19" t="s">
        <v>43</v>
      </c>
      <c r="B9" s="21">
        <v>800</v>
      </c>
      <c r="C9" s="22">
        <v>40</v>
      </c>
      <c r="D9" s="23">
        <f t="shared" si="0"/>
        <v>6.324555320336759</v>
      </c>
      <c r="E9" s="12">
        <f t="shared" si="1"/>
        <v>126.49110640673517</v>
      </c>
      <c r="F9" s="2">
        <v>4</v>
      </c>
    </row>
    <row r="10" spans="1:6" ht="16.5" customHeight="1" x14ac:dyDescent="0.25"/>
    <row r="11" spans="1:6" x14ac:dyDescent="0.25">
      <c r="A11" s="16" t="s">
        <v>44</v>
      </c>
      <c r="B11" s="11">
        <v>0.05</v>
      </c>
    </row>
    <row r="12" spans="1:6" x14ac:dyDescent="0.25">
      <c r="A12" s="16" t="s">
        <v>32</v>
      </c>
      <c r="B12" s="11">
        <v>0.5</v>
      </c>
    </row>
    <row r="13" spans="1:6" x14ac:dyDescent="0.25">
      <c r="A13" s="16" t="s">
        <v>33</v>
      </c>
      <c r="B13" s="11">
        <v>1</v>
      </c>
    </row>
    <row r="14" spans="1:6" x14ac:dyDescent="0.25">
      <c r="A14" s="16" t="s">
        <v>34</v>
      </c>
      <c r="B14" s="11">
        <v>20</v>
      </c>
      <c r="C14" s="13"/>
      <c r="D14" s="13"/>
      <c r="E14" s="14"/>
      <c r="F14" s="15"/>
    </row>
    <row r="16" spans="1:6" x14ac:dyDescent="0.25">
      <c r="A16" s="30" t="s">
        <v>35</v>
      </c>
      <c r="B16" s="30" t="s">
        <v>16</v>
      </c>
      <c r="C16" s="30" t="s">
        <v>37</v>
      </c>
      <c r="D16" s="30" t="s">
        <v>38</v>
      </c>
      <c r="E16" s="30" t="s">
        <v>39</v>
      </c>
    </row>
    <row r="17" spans="1:7" x14ac:dyDescent="0.25">
      <c r="A17" s="31"/>
      <c r="B17" s="31"/>
      <c r="C17" s="31"/>
      <c r="D17" s="31"/>
      <c r="E17" s="31"/>
    </row>
    <row r="18" spans="1:7" x14ac:dyDescent="0.25">
      <c r="A18" s="17" t="s">
        <v>0</v>
      </c>
      <c r="B18" s="25">
        <f>SQRT($B$14*C5/($B$11*B5))</f>
        <v>2.5819888974716112</v>
      </c>
      <c r="C18" s="15">
        <f>$B$12*B5+$B$14*C5/B18</f>
        <v>377.45966692414834</v>
      </c>
      <c r="D18">
        <f>$B$13*SUM(B6:B9)</f>
        <v>2100</v>
      </c>
      <c r="E18" s="18">
        <f>C18+D18</f>
        <v>2477.4596669241482</v>
      </c>
    </row>
    <row r="19" spans="1:7" x14ac:dyDescent="0.25">
      <c r="A19" s="17" t="s">
        <v>45</v>
      </c>
      <c r="B19" s="25">
        <f>SQRT($B$14*C5/($B$11*(B5+B6)))</f>
        <v>1.5811388300841898</v>
      </c>
      <c r="C19" s="15">
        <f>$B$12*($B$5+$B$6)+$B$14*($C$5/$B$18+$C$6/$B$19)</f>
        <v>1256.9329861443539</v>
      </c>
      <c r="D19">
        <f>$B$13*SUM(B7:B9)</f>
        <v>1100</v>
      </c>
      <c r="E19" s="18">
        <f>C19+D19</f>
        <v>2356.9329861443539</v>
      </c>
    </row>
    <row r="20" spans="1:7" x14ac:dyDescent="0.25">
      <c r="B20" s="25">
        <f>SQRT($B$14*C6/($B$11*(B5+B6)))</f>
        <v>2.7386127875258306</v>
      </c>
      <c r="C20" s="15"/>
    </row>
    <row r="21" spans="1:7" x14ac:dyDescent="0.25">
      <c r="A21" s="17" t="s">
        <v>46</v>
      </c>
      <c r="B21" s="24">
        <f>SQRT($B$14*C5/($B$11*($B$5+$B$6+$B$7)))</f>
        <v>1.4907119849998598</v>
      </c>
      <c r="C21" s="15">
        <f>$B$12*(B5+B6+B7)+$B$14*(C5/B21+C6/B22+C7/B23)</f>
        <v>1326.5430794224324</v>
      </c>
      <c r="D21">
        <f>$B$13*(B8+B9)</f>
        <v>900</v>
      </c>
      <c r="E21" s="27">
        <f>C21+D21</f>
        <v>2226.5430794224321</v>
      </c>
      <c r="F21" s="28" t="s">
        <v>49</v>
      </c>
      <c r="G21" s="29">
        <f>SQRT($B$14/($B$11*SUM(B5:B7)))*SUM(D5:D7)</f>
        <v>4.7393675491381382</v>
      </c>
    </row>
    <row r="22" spans="1:7" x14ac:dyDescent="0.25">
      <c r="B22" s="24">
        <f>SQRT($B$14*C6/($B$11*($B$5+$B$6+$B$7)))</f>
        <v>2.5819888974716112</v>
      </c>
      <c r="C22" s="15"/>
      <c r="E22" s="18"/>
    </row>
    <row r="23" spans="1:7" x14ac:dyDescent="0.25">
      <c r="A23" s="13"/>
      <c r="B23" s="24">
        <f>SQRT($B$14*C7/($B$11*($B$5+$B$6+$B$7)))</f>
        <v>0.66666666666666663</v>
      </c>
    </row>
    <row r="24" spans="1:7" x14ac:dyDescent="0.25">
      <c r="A24" s="17" t="s">
        <v>47</v>
      </c>
      <c r="B24" s="26">
        <f>SQRT($B$14*C5/($B$11*($B$5+$B$6+$B$7+$B$9)))</f>
        <v>1.2403473458920846</v>
      </c>
      <c r="C24" s="15">
        <f>$B$12*(B5+B6+B7+B9)+$B$14*(C5/B24+C6/B25+C7/B26+C9/B27)</f>
        <v>2135.1312912825715</v>
      </c>
      <c r="D24">
        <f>$B$13*B8</f>
        <v>100</v>
      </c>
      <c r="E24" s="18">
        <f>C24+D24</f>
        <v>2235.1312912825715</v>
      </c>
    </row>
    <row r="25" spans="1:7" x14ac:dyDescent="0.25">
      <c r="B25" s="26">
        <f>SQRT($B$14*C6/($B$11*($B$5+$B$6+$B$7+$B$9)))</f>
        <v>2.1483446221182985</v>
      </c>
      <c r="C25" s="15"/>
      <c r="E25" s="18"/>
    </row>
    <row r="26" spans="1:7" x14ac:dyDescent="0.25">
      <c r="B26" s="26">
        <f>SQRT($B$14*C7/($B$11*($B$5+$B$6+$B$7+$B$9)))</f>
        <v>0.55470019622522915</v>
      </c>
      <c r="C26" s="15"/>
    </row>
    <row r="27" spans="1:7" x14ac:dyDescent="0.25">
      <c r="B27" s="26">
        <f>SQRT($B$14*C9/($B$11*($B$5+$B$6+$B$7+$B$9)))</f>
        <v>2.4806946917841692</v>
      </c>
      <c r="C27" s="15"/>
    </row>
    <row r="28" spans="1:7" x14ac:dyDescent="0.25">
      <c r="A28" s="9" t="s">
        <v>48</v>
      </c>
      <c r="B28" s="24">
        <f>SQRT($B$14*C5/($B$11*SUM($B$5:$B$9)))</f>
        <v>1.2171612389003692</v>
      </c>
      <c r="C28" s="15">
        <f>$B$12*SUM(B5:B9)+$B$14*(C5/B28+C6/B29+C7/B30+C8/B31+C9/B32)</f>
        <v>2365.3567507048488</v>
      </c>
      <c r="E28" s="18">
        <f>C28+D28</f>
        <v>2365.3567507048488</v>
      </c>
    </row>
    <row r="29" spans="1:7" x14ac:dyDescent="0.25">
      <c r="B29" s="24">
        <f t="shared" ref="B29:B32" si="2">SQRT($B$14*C6/($B$11*SUM($B$5:$B$9)))</f>
        <v>2.1081851067789197</v>
      </c>
    </row>
    <row r="30" spans="1:7" x14ac:dyDescent="0.25">
      <c r="B30" s="24">
        <f t="shared" si="2"/>
        <v>0.54433105395181736</v>
      </c>
    </row>
    <row r="31" spans="1:7" x14ac:dyDescent="0.25">
      <c r="B31" s="24">
        <f t="shared" si="2"/>
        <v>1.2171612389003692</v>
      </c>
    </row>
    <row r="32" spans="1:7" x14ac:dyDescent="0.25">
      <c r="B32" s="24">
        <f t="shared" si="2"/>
        <v>2.4343224778007384</v>
      </c>
    </row>
  </sheetData>
  <mergeCells count="11">
    <mergeCell ref="F3:F4"/>
    <mergeCell ref="A16:A17"/>
    <mergeCell ref="B16:B17"/>
    <mergeCell ref="C16:C17"/>
    <mergeCell ref="D16:D17"/>
    <mergeCell ref="E16:E17"/>
    <mergeCell ref="A3:A4"/>
    <mergeCell ref="B3:B4"/>
    <mergeCell ref="C3:C4"/>
    <mergeCell ref="D3:D4"/>
    <mergeCell ref="E3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ui = infinity</vt:lpstr>
      <vt:lpstr>ui</vt:lpstr>
      <vt:lpstr>Piece_1</vt:lpstr>
      <vt:lpstr>Piece_2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Minis</dc:creator>
  <cp:lastModifiedBy>Ioannis Minis</cp:lastModifiedBy>
  <dcterms:created xsi:type="dcterms:W3CDTF">2020-04-05T14:28:45Z</dcterms:created>
  <dcterms:modified xsi:type="dcterms:W3CDTF">2020-04-27T08:44:37Z</dcterms:modified>
</cp:coreProperties>
</file>