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primeadvservices-my.sharepoint.com/personal/ioannis_minis_mprime_gr/Documents/Aegean/Courses/SCM II/L10_Forecasting/"/>
    </mc:Choice>
  </mc:AlternateContent>
  <xr:revisionPtr revIDLastSave="150" documentId="13_ncr:1_{D705D7CF-025C-40DF-A71E-8A708E776EA9}" xr6:coauthVersionLast="45" xr6:coauthVersionMax="45" xr10:uidLastSave="{9A6DA1C0-83FC-4127-B0B7-4954F9F07434}"/>
  <bookViews>
    <workbookView xWindow="-120" yWindow="-120" windowWidth="24240" windowHeight="13140" activeTab="1" xr2:uid="{AABF8E08-4E05-443D-BCDD-F23A1E4CE325}"/>
  </bookViews>
  <sheets>
    <sheet name="AMO, KMO" sheetId="3" r:id="rId1"/>
    <sheet name="Exp-Sm" sheetId="1" r:id="rId2"/>
    <sheet name="ARMA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3" l="1"/>
  <c r="K9" i="3"/>
  <c r="K10" i="3"/>
  <c r="K11" i="3"/>
  <c r="K12" i="3"/>
  <c r="K8" i="3"/>
  <c r="I13" i="3"/>
  <c r="I9" i="3"/>
  <c r="I10" i="3"/>
  <c r="I11" i="3"/>
  <c r="I12" i="3"/>
  <c r="I8" i="3"/>
  <c r="G9" i="3" l="1"/>
  <c r="G10" i="3"/>
  <c r="G11" i="3"/>
  <c r="G12" i="3"/>
  <c r="G13" i="3"/>
  <c r="G8" i="3"/>
  <c r="C13" i="3" l="1"/>
  <c r="D9" i="3"/>
  <c r="D10" i="3"/>
  <c r="D11" i="3"/>
  <c r="D12" i="3"/>
  <c r="D13" i="3"/>
  <c r="D8" i="3"/>
  <c r="J24" i="2" l="1"/>
  <c r="C22" i="2"/>
  <c r="D21" i="2" s="1"/>
  <c r="C12" i="2"/>
  <c r="F12" i="2" s="1"/>
  <c r="C13" i="2"/>
  <c r="D12" i="2" s="1"/>
  <c r="E12" i="2" s="1"/>
  <c r="C14" i="2"/>
  <c r="D13" i="2" s="1"/>
  <c r="C15" i="2"/>
  <c r="F15" i="2" s="1"/>
  <c r="C16" i="2"/>
  <c r="F16" i="2" s="1"/>
  <c r="C17" i="2"/>
  <c r="D16" i="2" s="1"/>
  <c r="E16" i="2" s="1"/>
  <c r="C18" i="2"/>
  <c r="D17" i="2" s="1"/>
  <c r="C19" i="2"/>
  <c r="F19" i="2" s="1"/>
  <c r="C20" i="2"/>
  <c r="F20" i="2" s="1"/>
  <c r="C21" i="2"/>
  <c r="D20" i="2" s="1"/>
  <c r="E20" i="2" s="1"/>
  <c r="C11" i="2"/>
  <c r="F11" i="2" s="1"/>
  <c r="L11" i="2" l="1"/>
  <c r="M11" i="2" s="1"/>
  <c r="N11" i="2" s="1"/>
  <c r="L12" i="2"/>
  <c r="M12" i="2" s="1"/>
  <c r="L13" i="2" s="1"/>
  <c r="D19" i="2"/>
  <c r="E19" i="2" s="1"/>
  <c r="F18" i="2"/>
  <c r="C23" i="2"/>
  <c r="C24" i="2" s="1"/>
  <c r="E17" i="2"/>
  <c r="D15" i="2"/>
  <c r="E15" i="2" s="1"/>
  <c r="F14" i="2"/>
  <c r="D18" i="2"/>
  <c r="E18" i="2" s="1"/>
  <c r="D14" i="2"/>
  <c r="E14" i="2" s="1"/>
  <c r="E21" i="2"/>
  <c r="F21" i="2"/>
  <c r="F17" i="2"/>
  <c r="F13" i="2"/>
  <c r="D11" i="2"/>
  <c r="E11" i="2" s="1"/>
  <c r="E13" i="2"/>
  <c r="K12" i="1"/>
  <c r="K13" i="1"/>
  <c r="K14" i="1"/>
  <c r="L14" i="1" s="1"/>
  <c r="K15" i="1"/>
  <c r="K16" i="1"/>
  <c r="R10" i="1" s="1"/>
  <c r="R14" i="1" s="1"/>
  <c r="K17" i="1"/>
  <c r="K18" i="1"/>
  <c r="K19" i="1"/>
  <c r="K20" i="1"/>
  <c r="K21" i="1"/>
  <c r="K11" i="1"/>
  <c r="Q10" i="1" s="1"/>
  <c r="Q13" i="1" s="1"/>
  <c r="F12" i="1"/>
  <c r="H12" i="1"/>
  <c r="F11" i="1"/>
  <c r="B12" i="1"/>
  <c r="B13" i="1"/>
  <c r="B14" i="1"/>
  <c r="B15" i="1"/>
  <c r="B16" i="1"/>
  <c r="B17" i="1"/>
  <c r="B18" i="1"/>
  <c r="B19" i="1"/>
  <c r="B20" i="1"/>
  <c r="B21" i="1"/>
  <c r="B11" i="1"/>
  <c r="C11" i="1" s="1"/>
  <c r="R11" i="1" l="1"/>
  <c r="R13" i="1"/>
  <c r="N13" i="1" s="1"/>
  <c r="Q12" i="1"/>
  <c r="N12" i="1" s="1"/>
  <c r="C12" i="1"/>
  <c r="Q11" i="1"/>
  <c r="R12" i="1"/>
  <c r="Q14" i="1"/>
  <c r="N14" i="1" s="1"/>
  <c r="F23" i="2"/>
  <c r="M13" i="2"/>
  <c r="L14" i="2" s="1"/>
  <c r="N12" i="2"/>
  <c r="E23" i="2"/>
  <c r="D23" i="2"/>
  <c r="D24" i="2" s="1"/>
  <c r="G12" i="1"/>
  <c r="F13" i="1" s="1"/>
  <c r="C13" i="1" l="1"/>
  <c r="N11" i="1"/>
  <c r="N13" i="2"/>
  <c r="M14" i="2"/>
  <c r="C26" i="2"/>
  <c r="Q9" i="2" s="1"/>
  <c r="F26" i="2"/>
  <c r="G13" i="1"/>
  <c r="F14" i="1" s="1"/>
  <c r="H13" i="1"/>
  <c r="C14" i="1" l="1"/>
  <c r="G19" i="2"/>
  <c r="G22" i="2"/>
  <c r="G20" i="2"/>
  <c r="G12" i="2"/>
  <c r="G21" i="2"/>
  <c r="P11" i="2"/>
  <c r="Q11" i="2" s="1"/>
  <c r="R11" i="2" s="1"/>
  <c r="L15" i="1"/>
  <c r="O15" i="1"/>
  <c r="L15" i="2"/>
  <c r="M15" i="2" s="1"/>
  <c r="N14" i="2"/>
  <c r="G17" i="2"/>
  <c r="G11" i="2"/>
  <c r="G18" i="2"/>
  <c r="G13" i="2"/>
  <c r="G14" i="2"/>
  <c r="G16" i="2"/>
  <c r="G15" i="2"/>
  <c r="G14" i="1"/>
  <c r="F15" i="1" s="1"/>
  <c r="H14" i="1"/>
  <c r="C15" i="1" l="1"/>
  <c r="P12" i="2"/>
  <c r="Q12" i="2" s="1"/>
  <c r="N15" i="1"/>
  <c r="M15" i="1"/>
  <c r="O16" i="1" s="1"/>
  <c r="L16" i="2"/>
  <c r="M16" i="2" s="1"/>
  <c r="N15" i="2"/>
  <c r="G15" i="1"/>
  <c r="F16" i="1" s="1"/>
  <c r="G16" i="1" s="1"/>
  <c r="F17" i="1" s="1"/>
  <c r="H15" i="1"/>
  <c r="C16" i="1" l="1"/>
  <c r="L16" i="1"/>
  <c r="R12" i="2"/>
  <c r="P13" i="2"/>
  <c r="Q13" i="2" s="1"/>
  <c r="L17" i="2"/>
  <c r="M17" i="2" s="1"/>
  <c r="L18" i="2" s="1"/>
  <c r="M18" i="2" s="1"/>
  <c r="L19" i="2" s="1"/>
  <c r="M19" i="2" s="1"/>
  <c r="L20" i="2" s="1"/>
  <c r="N16" i="2"/>
  <c r="G17" i="1"/>
  <c r="F18" i="1" s="1"/>
  <c r="G18" i="1" s="1"/>
  <c r="F19" i="1" s="1"/>
  <c r="G19" i="1" s="1"/>
  <c r="H16" i="1"/>
  <c r="C17" i="1" l="1"/>
  <c r="R13" i="2"/>
  <c r="P14" i="2"/>
  <c r="Q14" i="2" s="1"/>
  <c r="M16" i="1"/>
  <c r="L17" i="1" s="1"/>
  <c r="N16" i="1"/>
  <c r="N17" i="2"/>
  <c r="M20" i="2"/>
  <c r="L21" i="2" s="1"/>
  <c r="N18" i="2"/>
  <c r="F20" i="1"/>
  <c r="G20" i="1" s="1"/>
  <c r="F21" i="1" s="1"/>
  <c r="G21" i="1" s="1"/>
  <c r="H17" i="1"/>
  <c r="C18" i="1" l="1"/>
  <c r="N17" i="1"/>
  <c r="M17" i="1"/>
  <c r="O18" i="1" s="1"/>
  <c r="P15" i="2"/>
  <c r="Q15" i="2" s="1"/>
  <c r="R14" i="2"/>
  <c r="O17" i="1"/>
  <c r="M21" i="2"/>
  <c r="L22" i="2" s="1"/>
  <c r="N19" i="2"/>
  <c r="H19" i="1"/>
  <c r="H18" i="1"/>
  <c r="L18" i="1" l="1"/>
  <c r="N18" i="1" s="1"/>
  <c r="C19" i="1"/>
  <c r="P16" i="2"/>
  <c r="Q16" i="2" s="1"/>
  <c r="R15" i="2"/>
  <c r="M22" i="2"/>
  <c r="L23" i="2" s="1"/>
  <c r="N20" i="2"/>
  <c r="H20" i="1"/>
  <c r="M18" i="1" l="1"/>
  <c r="O19" i="1" s="1"/>
  <c r="C20" i="1"/>
  <c r="P17" i="2"/>
  <c r="Q17" i="2" s="1"/>
  <c r="R16" i="2"/>
  <c r="N22" i="2"/>
  <c r="N24" i="2" s="1"/>
  <c r="N21" i="2"/>
  <c r="H22" i="1"/>
  <c r="H21" i="1"/>
  <c r="C21" i="1" l="1"/>
  <c r="L19" i="1"/>
  <c r="P18" i="2"/>
  <c r="Q18" i="2" s="1"/>
  <c r="R17" i="2"/>
  <c r="M19" i="1" l="1"/>
  <c r="O20" i="1" s="1"/>
  <c r="N19" i="1"/>
  <c r="C22" i="1"/>
  <c r="P19" i="2"/>
  <c r="Q19" i="2" s="1"/>
  <c r="R18" i="2"/>
  <c r="L20" i="1" l="1"/>
  <c r="M20" i="1" s="1"/>
  <c r="O21" i="1" s="1"/>
  <c r="P20" i="2"/>
  <c r="Q20" i="2" s="1"/>
  <c r="R19" i="2"/>
  <c r="N20" i="1" l="1"/>
  <c r="L21" i="1"/>
  <c r="M21" i="1" s="1"/>
  <c r="O22" i="1" s="1"/>
  <c r="P21" i="2"/>
  <c r="Q21" i="2" s="1"/>
  <c r="R20" i="2"/>
  <c r="N21" i="1" l="1"/>
  <c r="P22" i="2"/>
  <c r="Q22" i="2" s="1"/>
  <c r="R21" i="2"/>
  <c r="P23" i="2" l="1"/>
  <c r="R22" i="2"/>
  <c r="R24" i="2" s="1"/>
</calcChain>
</file>

<file path=xl/sharedStrings.xml><?xml version="1.0" encoding="utf-8"?>
<sst xmlns="http://schemas.openxmlformats.org/spreadsheetml/2006/main" count="52" uniqueCount="35">
  <si>
    <t>Dt</t>
  </si>
  <si>
    <t>Ft</t>
  </si>
  <si>
    <t>St</t>
  </si>
  <si>
    <t>Tt</t>
  </si>
  <si>
    <t>It</t>
  </si>
  <si>
    <t>Ave</t>
  </si>
  <si>
    <t>1st period</t>
  </si>
  <si>
    <t>2nd period</t>
  </si>
  <si>
    <t>I1</t>
  </si>
  <si>
    <t>I2</t>
  </si>
  <si>
    <t>I3</t>
  </si>
  <si>
    <t>I4</t>
  </si>
  <si>
    <t>xi</t>
  </si>
  <si>
    <t>yi</t>
  </si>
  <si>
    <t>i</t>
  </si>
  <si>
    <t>xiyi</t>
  </si>
  <si>
    <t>Sum</t>
  </si>
  <si>
    <t>average</t>
  </si>
  <si>
    <t>xi2</t>
  </si>
  <si>
    <t>b1=</t>
  </si>
  <si>
    <t>b0=</t>
  </si>
  <si>
    <t>w1=</t>
  </si>
  <si>
    <t>SSE</t>
  </si>
  <si>
    <t>ei</t>
  </si>
  <si>
    <t>ei^2</t>
  </si>
  <si>
    <t>y'i</t>
  </si>
  <si>
    <t>AMO</t>
  </si>
  <si>
    <t>KMO</t>
  </si>
  <si>
    <t>ΣΜΟ</t>
  </si>
  <si>
    <t>wi</t>
  </si>
  <si>
    <t>α=</t>
  </si>
  <si>
    <t>β=</t>
  </si>
  <si>
    <t>γ=</t>
  </si>
  <si>
    <t>Σφάλμα ΚΜΟ</t>
  </si>
  <si>
    <t>Σφάλμα ΣΜΟ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</si>
</sst>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rgb="FF595959"/>
      <name val="Calibri"/>
      <family val="2"/>
    </font>
    <font>
      <sz val="11"/>
      <color theme="1"/>
      <name val="Calibri"/>
      <family val="2"/>
      <scheme val="minor"/>
    </font>
    <font>
      <sz val="12"/>
      <color rgb="FF595959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 readingOrder="1"/>
    </xf>
    <xf numFmtId="1" fontId="0" fillId="0" borderId="0" xfId="0" applyNumberFormat="1"/>
    <xf numFmtId="0" fontId="0" fillId="2" borderId="0" xfId="0" applyFill="1"/>
    <xf numFmtId="0" fontId="0" fillId="0" borderId="0" xfId="0" applyAlignment="1">
      <alignment horizontal="center"/>
    </xf>
    <xf numFmtId="0" fontId="0" fillId="3" borderId="0" xfId="0" applyFill="1"/>
    <xf numFmtId="165" fontId="0" fillId="0" borderId="0" xfId="1" applyNumberFormat="1" applyFont="1"/>
    <xf numFmtId="0" fontId="0" fillId="0" borderId="1" xfId="0" applyBorder="1"/>
    <xf numFmtId="1" fontId="3" fillId="0" borderId="0" xfId="0" applyNumberFormat="1" applyFont="1" applyAlignment="1">
      <alignment horizontal="center" vertical="center" wrapText="1" readingOrder="1"/>
    </xf>
    <xf numFmtId="1" fontId="3" fillId="0" borderId="0" xfId="0" applyNumberFormat="1" applyFont="1" applyBorder="1" applyAlignment="1">
      <alignment horizontal="center" vertical="center" wrapText="1" readingOrder="1"/>
    </xf>
    <xf numFmtId="1" fontId="0" fillId="2" borderId="0" xfId="0" applyNumberFormat="1" applyFill="1"/>
    <xf numFmtId="2" fontId="3" fillId="0" borderId="0" xfId="0" applyNumberFormat="1" applyFont="1" applyAlignment="1">
      <alignment horizontal="center" vertical="center" wrapText="1" readingOrder="1"/>
    </xf>
    <xf numFmtId="0" fontId="4" fillId="0" borderId="0" xfId="0" applyFont="1"/>
    <xf numFmtId="0" fontId="1" fillId="0" borderId="0" xfId="0" applyFont="1" applyBorder="1" applyAlignment="1">
      <alignment horizontal="center" vertical="center" wrapText="1" readingOrder="1"/>
    </xf>
    <xf numFmtId="0" fontId="0" fillId="0" borderId="0" xfId="0" applyBorder="1"/>
    <xf numFmtId="0" fontId="4" fillId="0" borderId="0" xfId="0" applyFont="1" applyBorder="1"/>
    <xf numFmtId="0" fontId="1" fillId="0" borderId="2" xfId="0" applyFont="1" applyBorder="1" applyAlignment="1">
      <alignment horizontal="center" vertical="center" wrapText="1" readingOrder="1"/>
    </xf>
    <xf numFmtId="1" fontId="0" fillId="0" borderId="3" xfId="0" applyNumberFormat="1" applyBorder="1"/>
    <xf numFmtId="0" fontId="0" fillId="0" borderId="4" xfId="0" applyBorder="1"/>
    <xf numFmtId="0" fontId="0" fillId="0" borderId="5" xfId="0" applyBorder="1"/>
    <xf numFmtId="1" fontId="0" fillId="0" borderId="6" xfId="0" applyNumberForma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0" fillId="0" borderId="2" xfId="0" applyBorder="1"/>
    <xf numFmtId="0" fontId="0" fillId="0" borderId="3" xfId="0" applyBorder="1"/>
    <xf numFmtId="164" fontId="0" fillId="0" borderId="3" xfId="0" applyNumberFormat="1" applyBorder="1"/>
    <xf numFmtId="164" fontId="0" fillId="0" borderId="6" xfId="0" applyNumberFormat="1" applyBorder="1"/>
    <xf numFmtId="0" fontId="1" fillId="0" borderId="4" xfId="0" applyFont="1" applyBorder="1" applyAlignment="1">
      <alignment horizontal="center" vertical="center" wrapText="1" readingOrder="1"/>
    </xf>
    <xf numFmtId="164" fontId="0" fillId="2" borderId="0" xfId="0" applyNumberFormat="1" applyFill="1"/>
    <xf numFmtId="2" fontId="0" fillId="0" borderId="0" xfId="0" applyNumberFormat="1" applyBorder="1" applyAlignment="1">
      <alignment horizontal="right" indent="1"/>
    </xf>
    <xf numFmtId="1" fontId="0" fillId="0" borderId="0" xfId="0" applyNumberFormat="1" applyBorder="1"/>
    <xf numFmtId="2" fontId="0" fillId="0" borderId="0" xfId="0" applyNumberFormat="1" applyBorder="1"/>
    <xf numFmtId="1" fontId="0" fillId="0" borderId="5" xfId="0" applyNumberFormat="1" applyBorder="1"/>
    <xf numFmtId="2" fontId="0" fillId="0" borderId="5" xfId="0" applyNumberFormat="1" applyBorder="1"/>
    <xf numFmtId="2" fontId="0" fillId="0" borderId="0" xfId="0" applyNumberFormat="1"/>
    <xf numFmtId="2" fontId="0" fillId="2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4</xdr:row>
      <xdr:rowOff>104776</xdr:rowOff>
    </xdr:from>
    <xdr:to>
      <xdr:col>3</xdr:col>
      <xdr:colOff>57150</xdr:colOff>
      <xdr:row>7</xdr:row>
      <xdr:rowOff>1444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134FA2-D27D-4983-85F0-722C2F8DB9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866776"/>
          <a:ext cx="1838325" cy="468168"/>
        </a:xfrm>
        <a:prstGeom prst="rect">
          <a:avLst/>
        </a:prstGeom>
      </xdr:spPr>
    </xdr:pic>
    <xdr:clientData/>
  </xdr:twoCellAnchor>
  <xdr:twoCellAnchor editAs="oneCell">
    <xdr:from>
      <xdr:col>3</xdr:col>
      <xdr:colOff>419100</xdr:colOff>
      <xdr:row>1</xdr:row>
      <xdr:rowOff>20550</xdr:rowOff>
    </xdr:from>
    <xdr:to>
      <xdr:col>8</xdr:col>
      <xdr:colOff>313917</xdr:colOff>
      <xdr:row>8</xdr:row>
      <xdr:rowOff>85531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CD55B31-9B59-427C-8EE4-E11FEBBB1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47900" y="211050"/>
          <a:ext cx="2942817" cy="1398481"/>
        </a:xfrm>
        <a:prstGeom prst="rect">
          <a:avLst/>
        </a:prstGeom>
      </xdr:spPr>
    </xdr:pic>
    <xdr:clientData/>
  </xdr:twoCellAnchor>
  <xdr:twoCellAnchor editAs="oneCell">
    <xdr:from>
      <xdr:col>9</xdr:col>
      <xdr:colOff>180975</xdr:colOff>
      <xdr:row>0</xdr:row>
      <xdr:rowOff>47625</xdr:rowOff>
    </xdr:from>
    <xdr:to>
      <xdr:col>15</xdr:col>
      <xdr:colOff>190084</xdr:colOff>
      <xdr:row>8</xdr:row>
      <xdr:rowOff>28387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A04EB73-F577-4D37-94EA-5C361B166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67375" y="47625"/>
          <a:ext cx="3323809" cy="15047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85724</xdr:colOff>
      <xdr:row>5</xdr:row>
      <xdr:rowOff>180975</xdr:rowOff>
    </xdr:from>
    <xdr:to>
      <xdr:col>5</xdr:col>
      <xdr:colOff>209550</xdr:colOff>
      <xdr:row>7</xdr:row>
      <xdr:rowOff>174116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Rectangle 1">
              <a:extLst>
                <a:ext uri="{FF2B5EF4-FFF2-40B4-BE49-F238E27FC236}">
                  <a16:creationId xmlns:a16="http://schemas.microsoft.com/office/drawing/2014/main" id="{F3B073F1-88BE-434B-A630-E0E5240B1C78}"/>
                </a:ext>
              </a:extLst>
            </xdr:cNvPr>
            <xdr:cNvSpPr/>
          </xdr:nvSpPr>
          <xdr:spPr>
            <a:xfrm>
              <a:off x="1304924" y="1123950"/>
              <a:ext cx="2076451" cy="374141"/>
            </a:xfrm>
            <a:prstGeom prst="rect">
              <a:avLst/>
            </a:prstGeom>
            <a:solidFill>
              <a:schemeClr val="bg1"/>
            </a:solidFill>
          </xdr:spPr>
          <xdr:txBody>
            <a:bodyPr wrap="square">
              <a:spAutoFit/>
            </a:bodyPr>
            <a:lstStyle>
              <a:defPPr>
                <a:defRPr lang="el-G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l-GR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i="1">
                            <a:latin typeface="Cambria Math"/>
                          </a:rPr>
                          <m:t>𝑌</m:t>
                        </m:r>
                      </m:e>
                      <m:sub>
                        <m:r>
                          <a:rPr lang="en-US" i="1">
                            <a:latin typeface="Cambria Math"/>
                          </a:rPr>
                          <m:t>𝑡</m:t>
                        </m:r>
                      </m:sub>
                    </m:sSub>
                    <m:r>
                      <a:rPr lang="en-US" i="1">
                        <a:latin typeface="Cambria Math"/>
                      </a:rPr>
                      <m:t>′</m:t>
                    </m:r>
                    <m:r>
                      <a:rPr lang="el-GR" i="1">
                        <a:latin typeface="Cambria Math"/>
                      </a:rPr>
                      <m:t>= </m:t>
                    </m:r>
                    <m:sSub>
                      <m:sSubPr>
                        <m:ctrlPr>
                          <a:rPr lang="el-GR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l-GR" i="1">
                            <a:latin typeface="Cambria Math"/>
                          </a:rPr>
                          <m:t>𝛽</m:t>
                        </m:r>
                      </m:e>
                      <m:sub>
                        <m:r>
                          <a:rPr lang="el-GR" i="1">
                            <a:latin typeface="Cambria Math"/>
                          </a:rPr>
                          <m:t>0</m:t>
                        </m:r>
                      </m:sub>
                    </m:sSub>
                    <m:r>
                      <a:rPr lang="el-GR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el-GR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l-GR" i="1">
                            <a:latin typeface="Cambria Math"/>
                          </a:rPr>
                          <m:t>𝛽</m:t>
                        </m:r>
                      </m:e>
                      <m:sub>
                        <m:r>
                          <a:rPr lang="el-GR" i="1">
                            <a:latin typeface="Cambria Math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el-GR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i="1">
                            <a:latin typeface="Cambria Math"/>
                          </a:rPr>
                          <m:t>𝑌</m:t>
                        </m:r>
                      </m:e>
                      <m:sub>
                        <m:r>
                          <a:rPr lang="el-GR" i="1">
                            <a:latin typeface="Cambria Math"/>
                          </a:rPr>
                          <m:t>𝑡</m:t>
                        </m:r>
                        <m:r>
                          <a:rPr lang="el-GR" i="1">
                            <a:latin typeface="Cambria Math"/>
                          </a:rPr>
                          <m:t>−1</m:t>
                        </m:r>
                      </m:sub>
                    </m:sSub>
                  </m:oMath>
                </m:oMathPara>
              </a14:m>
              <a:endParaRPr lang="el-GR"/>
            </a:p>
          </xdr:txBody>
        </xdr:sp>
      </mc:Choice>
      <mc:Fallback xmlns="">
        <xdr:sp macro="" textlink="">
          <xdr:nvSpPr>
            <xdr:cNvPr id="2" name="Rectangle 1">
              <a:extLst>
                <a:ext uri="{FF2B5EF4-FFF2-40B4-BE49-F238E27FC236}">
                  <a16:creationId xmlns:a16="http://schemas.microsoft.com/office/drawing/2014/main" id="{F3B073F1-88BE-434B-A630-E0E5240B1C78}"/>
                </a:ext>
              </a:extLst>
            </xdr:cNvPr>
            <xdr:cNvSpPr/>
          </xdr:nvSpPr>
          <xdr:spPr>
            <a:xfrm>
              <a:off x="1304924" y="1123950"/>
              <a:ext cx="2076451" cy="374141"/>
            </a:xfrm>
            <a:prstGeom prst="rect">
              <a:avLst/>
            </a:prstGeom>
            <a:solidFill>
              <a:schemeClr val="bg1"/>
            </a:solidFill>
          </xdr:spPr>
          <xdr:txBody>
            <a:bodyPr wrap="square">
              <a:spAutoFit/>
            </a:bodyPr>
            <a:lstStyle>
              <a:defPPr>
                <a:defRPr lang="el-G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n-US" i="0">
                  <a:latin typeface="Cambria Math"/>
                </a:rPr>
                <a:t>𝑌</a:t>
              </a:r>
              <a:r>
                <a:rPr lang="el-GR" i="0">
                  <a:latin typeface="Cambria Math" panose="02040503050406030204" pitchFamily="18" charset="0"/>
                </a:rPr>
                <a:t>_</a:t>
              </a:r>
              <a:r>
                <a:rPr lang="en-US" i="0">
                  <a:latin typeface="Cambria Math"/>
                </a:rPr>
                <a:t>𝑡′</a:t>
              </a:r>
              <a:r>
                <a:rPr lang="el-GR" i="0">
                  <a:latin typeface="Cambria Math"/>
                </a:rPr>
                <a:t>= 𝛽</a:t>
              </a:r>
              <a:r>
                <a:rPr lang="el-GR" i="0">
                  <a:latin typeface="Cambria Math" panose="02040503050406030204" pitchFamily="18" charset="0"/>
                </a:rPr>
                <a:t>_</a:t>
              </a:r>
              <a:r>
                <a:rPr lang="el-GR" i="0">
                  <a:latin typeface="Cambria Math"/>
                </a:rPr>
                <a:t>0+𝛽</a:t>
              </a:r>
              <a:r>
                <a:rPr lang="el-GR" i="0">
                  <a:latin typeface="Cambria Math" panose="02040503050406030204" pitchFamily="18" charset="0"/>
                </a:rPr>
                <a:t>_</a:t>
              </a:r>
              <a:r>
                <a:rPr lang="el-GR" i="0">
                  <a:latin typeface="Cambria Math"/>
                </a:rPr>
                <a:t>1</a:t>
              </a:r>
              <a:r>
                <a:rPr lang="el-GR" i="0">
                  <a:latin typeface="Cambria Math" panose="02040503050406030204" pitchFamily="18" charset="0"/>
                </a:rPr>
                <a:t> </a:t>
              </a:r>
              <a:r>
                <a:rPr lang="en-US" i="0">
                  <a:latin typeface="Cambria Math"/>
                </a:rPr>
                <a:t>𝑌</a:t>
              </a:r>
              <a:r>
                <a:rPr lang="el-GR" i="0">
                  <a:latin typeface="Cambria Math" panose="02040503050406030204" pitchFamily="18" charset="0"/>
                </a:rPr>
                <a:t>_(</a:t>
              </a:r>
              <a:r>
                <a:rPr lang="el-GR" i="0">
                  <a:latin typeface="Cambria Math"/>
                </a:rPr>
                <a:t>𝑡−1</a:t>
              </a:r>
              <a:r>
                <a:rPr lang="el-GR" i="0">
                  <a:latin typeface="Cambria Math" panose="02040503050406030204" pitchFamily="18" charset="0"/>
                </a:rPr>
                <a:t>)</a:t>
              </a:r>
              <a:endParaRPr lang="el-GR"/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27</xdr:row>
      <xdr:rowOff>47625</xdr:rowOff>
    </xdr:from>
    <xdr:to>
      <xdr:col>6</xdr:col>
      <xdr:colOff>361417</xdr:colOff>
      <xdr:row>41</xdr:row>
      <xdr:rowOff>18720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0A6CF2-E8C5-4652-911C-ADB82E02C6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419600"/>
          <a:ext cx="4266667" cy="2638095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285750</xdr:colOff>
      <xdr:row>0</xdr:row>
      <xdr:rowOff>95250</xdr:rowOff>
    </xdr:from>
    <xdr:to>
      <xdr:col>14</xdr:col>
      <xdr:colOff>370987</xdr:colOff>
      <xdr:row>3</xdr:row>
      <xdr:rowOff>28513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5B64106-3991-4B47-94BC-7616C5B36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10200" y="95250"/>
          <a:ext cx="3904762" cy="495238"/>
        </a:xfrm>
        <a:prstGeom prst="rect">
          <a:avLst/>
        </a:prstGeom>
      </xdr:spPr>
    </xdr:pic>
    <xdr:clientData/>
  </xdr:twoCellAnchor>
  <xdr:twoCellAnchor editAs="oneCell">
    <xdr:from>
      <xdr:col>15</xdr:col>
      <xdr:colOff>161925</xdr:colOff>
      <xdr:row>0</xdr:row>
      <xdr:rowOff>0</xdr:rowOff>
    </xdr:from>
    <xdr:to>
      <xdr:col>19</xdr:col>
      <xdr:colOff>95250</xdr:colOff>
      <xdr:row>4</xdr:row>
      <xdr:rowOff>152888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16FF853-17D3-4070-8C84-E0EC9D04B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34525" y="0"/>
          <a:ext cx="3209925" cy="905363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</xdr:colOff>
      <xdr:row>4</xdr:row>
      <xdr:rowOff>95250</xdr:rowOff>
    </xdr:from>
    <xdr:to>
      <xdr:col>13</xdr:col>
      <xdr:colOff>95012</xdr:colOff>
      <xdr:row>7</xdr:row>
      <xdr:rowOff>66607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6262A61-2DFC-4110-B903-81A8EAE0A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62700" y="847725"/>
          <a:ext cx="1904762" cy="542857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95250</xdr:colOff>
      <xdr:row>5</xdr:row>
      <xdr:rowOff>19050</xdr:rowOff>
    </xdr:from>
    <xdr:to>
      <xdr:col>18</xdr:col>
      <xdr:colOff>142536</xdr:colOff>
      <xdr:row>7</xdr:row>
      <xdr:rowOff>180907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5E6CC32-931E-4565-AD21-0BC7D40CE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467850" y="962025"/>
          <a:ext cx="2714286" cy="5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D4CD8-7050-453B-AA6A-2857263C7B08}">
  <dimension ref="A1:K13"/>
  <sheetViews>
    <sheetView workbookViewId="0">
      <selection activeCell="K13" sqref="K13"/>
    </sheetView>
  </sheetViews>
  <sheetFormatPr defaultRowHeight="15" x14ac:dyDescent="0.25"/>
  <cols>
    <col min="2" max="2" width="9.5703125" bestFit="1" customWidth="1"/>
  </cols>
  <sheetData>
    <row r="1" spans="1:11" x14ac:dyDescent="0.25">
      <c r="C1" s="12" t="s">
        <v>26</v>
      </c>
      <c r="D1" s="12" t="s">
        <v>27</v>
      </c>
      <c r="E1" s="12"/>
      <c r="F1" s="12" t="s">
        <v>29</v>
      </c>
      <c r="G1" s="12" t="s">
        <v>28</v>
      </c>
      <c r="I1" s="12" t="s">
        <v>33</v>
      </c>
      <c r="K1" s="12" t="s">
        <v>34</v>
      </c>
    </row>
    <row r="2" spans="1:11" ht="15.75" x14ac:dyDescent="0.25">
      <c r="A2">
        <v>1</v>
      </c>
      <c r="B2" s="9">
        <v>90</v>
      </c>
      <c r="F2" s="11">
        <v>0.05</v>
      </c>
    </row>
    <row r="3" spans="1:11" ht="15.75" x14ac:dyDescent="0.25">
      <c r="A3">
        <v>2</v>
      </c>
      <c r="B3" s="9">
        <v>92</v>
      </c>
      <c r="F3" s="11">
        <v>0.05</v>
      </c>
    </row>
    <row r="4" spans="1:11" ht="15.75" x14ac:dyDescent="0.25">
      <c r="A4">
        <v>3</v>
      </c>
      <c r="B4" s="8">
        <v>96</v>
      </c>
      <c r="F4" s="11">
        <v>0.1</v>
      </c>
    </row>
    <row r="5" spans="1:11" ht="15.75" x14ac:dyDescent="0.25">
      <c r="A5">
        <v>4</v>
      </c>
      <c r="B5" s="8">
        <v>103</v>
      </c>
      <c r="F5" s="11">
        <v>0.2</v>
      </c>
    </row>
    <row r="6" spans="1:11" ht="15.75" x14ac:dyDescent="0.25">
      <c r="A6">
        <v>5</v>
      </c>
      <c r="B6" s="8">
        <v>111</v>
      </c>
      <c r="F6" s="11">
        <v>0.3</v>
      </c>
    </row>
    <row r="7" spans="1:11" ht="15.75" x14ac:dyDescent="0.25">
      <c r="A7">
        <v>6</v>
      </c>
      <c r="B7" s="8">
        <v>110</v>
      </c>
      <c r="F7" s="11">
        <v>0.3</v>
      </c>
    </row>
    <row r="8" spans="1:11" ht="15.75" x14ac:dyDescent="0.25">
      <c r="A8">
        <v>7</v>
      </c>
      <c r="B8" s="8">
        <v>109</v>
      </c>
      <c r="D8" s="2">
        <f t="shared" ref="D8:D13" si="0">AVERAGE(B2:B7)</f>
        <v>100.33333333333333</v>
      </c>
      <c r="G8" s="2">
        <f>SUMPRODUCT($F$2:$F$7,B2:B7)</f>
        <v>105.6</v>
      </c>
      <c r="I8" s="35">
        <f>ABS(B8-D8)</f>
        <v>8.6666666666666714</v>
      </c>
      <c r="K8">
        <f>ABS(B8-G8)</f>
        <v>3.4000000000000057</v>
      </c>
    </row>
    <row r="9" spans="1:11" ht="15.75" x14ac:dyDescent="0.25">
      <c r="A9">
        <v>8</v>
      </c>
      <c r="B9" s="8">
        <v>112</v>
      </c>
      <c r="D9" s="2">
        <f t="shared" si="0"/>
        <v>103.5</v>
      </c>
      <c r="G9" s="2">
        <f t="shared" ref="G9:G13" si="1">SUMPRODUCT($F$2:$F$7,B3:B8)</f>
        <v>107.6</v>
      </c>
      <c r="I9" s="35">
        <f t="shared" ref="I9:I12" si="2">ABS(B9-D9)</f>
        <v>8.5</v>
      </c>
      <c r="K9">
        <f t="shared" ref="K9:K12" si="3">ABS(B9-G9)</f>
        <v>4.4000000000000057</v>
      </c>
    </row>
    <row r="10" spans="1:11" ht="15.75" x14ac:dyDescent="0.25">
      <c r="A10">
        <v>9</v>
      </c>
      <c r="B10" s="8">
        <v>110</v>
      </c>
      <c r="D10" s="2">
        <f t="shared" si="0"/>
        <v>106.83333333333333</v>
      </c>
      <c r="G10" s="2">
        <f t="shared" si="1"/>
        <v>109.35</v>
      </c>
      <c r="I10" s="35">
        <f t="shared" si="2"/>
        <v>3.1666666666666714</v>
      </c>
      <c r="K10">
        <f t="shared" si="3"/>
        <v>0.65000000000000568</v>
      </c>
    </row>
    <row r="11" spans="1:11" ht="15.75" x14ac:dyDescent="0.25">
      <c r="A11">
        <v>10</v>
      </c>
      <c r="B11" s="8">
        <v>115</v>
      </c>
      <c r="D11" s="2">
        <f t="shared" si="0"/>
        <v>109.16666666666667</v>
      </c>
      <c r="G11" s="2">
        <f t="shared" si="1"/>
        <v>110.1</v>
      </c>
      <c r="I11" s="35">
        <f t="shared" si="2"/>
        <v>5.8333333333333286</v>
      </c>
      <c r="K11">
        <f t="shared" si="3"/>
        <v>4.9000000000000057</v>
      </c>
    </row>
    <row r="12" spans="1:11" ht="15.75" x14ac:dyDescent="0.25">
      <c r="A12">
        <v>11</v>
      </c>
      <c r="B12" s="8">
        <v>113</v>
      </c>
      <c r="D12" s="2">
        <f t="shared" si="0"/>
        <v>111.16666666666667</v>
      </c>
      <c r="G12" s="2">
        <f t="shared" si="1"/>
        <v>111.85000000000001</v>
      </c>
      <c r="I12" s="35">
        <f t="shared" si="2"/>
        <v>1.8333333333333286</v>
      </c>
      <c r="K12">
        <f t="shared" si="3"/>
        <v>1.1499999999999915</v>
      </c>
    </row>
    <row r="13" spans="1:11" ht="15.75" x14ac:dyDescent="0.25">
      <c r="A13" s="3">
        <v>12</v>
      </c>
      <c r="B13" s="8"/>
      <c r="C13" s="10">
        <f>AVERAGE(B2:B12)</f>
        <v>105.54545454545455</v>
      </c>
      <c r="D13" s="10">
        <f t="shared" si="0"/>
        <v>111.5</v>
      </c>
      <c r="G13" s="10">
        <f t="shared" si="1"/>
        <v>112.55000000000001</v>
      </c>
      <c r="I13" s="36">
        <f>AVERAGE(I8:I12)</f>
        <v>5.6</v>
      </c>
      <c r="K13" s="36">
        <f>AVERAGE(K8:K12)</f>
        <v>2.900000000000003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78177-7C46-49EE-B61E-DC802BEB8E54}">
  <dimension ref="A1:S23"/>
  <sheetViews>
    <sheetView tabSelected="1" workbookViewId="0">
      <selection activeCell="J20" sqref="J20"/>
    </sheetView>
  </sheetViews>
  <sheetFormatPr defaultRowHeight="15" x14ac:dyDescent="0.25"/>
  <cols>
    <col min="14" max="14" width="5.85546875" bestFit="1" customWidth="1"/>
    <col min="15" max="15" width="7.28515625" customWidth="1"/>
    <col min="16" max="17" width="12" bestFit="1" customWidth="1"/>
  </cols>
  <sheetData>
    <row r="1" spans="1:19" x14ac:dyDescent="0.25">
      <c r="A1" t="s">
        <v>30</v>
      </c>
      <c r="B1">
        <v>0.4</v>
      </c>
    </row>
    <row r="2" spans="1:19" x14ac:dyDescent="0.25">
      <c r="A2" t="s">
        <v>31</v>
      </c>
      <c r="B2">
        <v>0.3</v>
      </c>
    </row>
    <row r="3" spans="1:19" x14ac:dyDescent="0.25">
      <c r="A3" t="s">
        <v>32</v>
      </c>
      <c r="B3">
        <v>0.2</v>
      </c>
    </row>
    <row r="9" spans="1:19" x14ac:dyDescent="0.25">
      <c r="Q9" s="3" t="s">
        <v>6</v>
      </c>
      <c r="R9" s="3" t="s">
        <v>7</v>
      </c>
    </row>
    <row r="10" spans="1:19" x14ac:dyDescent="0.25">
      <c r="A10" s="15"/>
      <c r="B10" s="21" t="s">
        <v>0</v>
      </c>
      <c r="C10" s="23" t="s">
        <v>1</v>
      </c>
      <c r="D10" s="15"/>
      <c r="E10" s="21" t="s">
        <v>0</v>
      </c>
      <c r="F10" s="22" t="s">
        <v>2</v>
      </c>
      <c r="G10" s="22" t="s">
        <v>3</v>
      </c>
      <c r="H10" s="23" t="s">
        <v>1</v>
      </c>
      <c r="I10" s="15"/>
      <c r="J10" s="15"/>
      <c r="K10" s="21" t="s">
        <v>0</v>
      </c>
      <c r="L10" s="22" t="s">
        <v>2</v>
      </c>
      <c r="M10" s="22" t="s">
        <v>3</v>
      </c>
      <c r="N10" s="22" t="s">
        <v>4</v>
      </c>
      <c r="O10" s="23" t="s">
        <v>1</v>
      </c>
      <c r="Q10">
        <f>AVERAGE(K11:K14)</f>
        <v>5750</v>
      </c>
      <c r="R10">
        <f>AVERAGE((K15:K18))</f>
        <v>6325</v>
      </c>
      <c r="S10" s="3" t="s">
        <v>5</v>
      </c>
    </row>
    <row r="11" spans="1:19" x14ac:dyDescent="0.25">
      <c r="A11" s="13">
        <v>13</v>
      </c>
      <c r="B11" s="24">
        <f>A11*1000</f>
        <v>13000</v>
      </c>
      <c r="C11" s="17">
        <f>B11</f>
        <v>13000</v>
      </c>
      <c r="D11" s="2"/>
      <c r="E11" s="16">
        <v>50</v>
      </c>
      <c r="F11" s="14">
        <f>E11</f>
        <v>50</v>
      </c>
      <c r="G11" s="14">
        <v>0</v>
      </c>
      <c r="H11" s="25"/>
      <c r="J11">
        <v>5.5</v>
      </c>
      <c r="K11" s="24">
        <f>J11*1000</f>
        <v>5500</v>
      </c>
      <c r="L11" s="14"/>
      <c r="M11" s="14"/>
      <c r="N11" s="30">
        <f>AVERAGE(Q11:R11)</f>
        <v>0.92885375494071143</v>
      </c>
      <c r="O11" s="25"/>
      <c r="Q11">
        <f>K11/$Q$10</f>
        <v>0.95652173913043481</v>
      </c>
      <c r="R11">
        <f>K15/$R$10</f>
        <v>0.90118577075098816</v>
      </c>
      <c r="S11" s="3" t="s">
        <v>8</v>
      </c>
    </row>
    <row r="12" spans="1:19" x14ac:dyDescent="0.25">
      <c r="A12" s="1">
        <v>12</v>
      </c>
      <c r="B12" s="24">
        <f t="shared" ref="B12:B21" si="0">A12*1000</f>
        <v>12000</v>
      </c>
      <c r="C12" s="17">
        <f>$B$1*B11+(1-$B$1)*C11</f>
        <v>13000</v>
      </c>
      <c r="D12" s="2"/>
      <c r="E12" s="16">
        <v>56</v>
      </c>
      <c r="F12" s="14">
        <f>$B$1*E12+(1-$B$1)*(F11+G11)</f>
        <v>52.400000000000006</v>
      </c>
      <c r="G12" s="14">
        <f>$B$2*(F12-F11)+(1-$B$2)*G11</f>
        <v>0.72000000000000164</v>
      </c>
      <c r="H12" s="26">
        <f>F11+G11</f>
        <v>50</v>
      </c>
      <c r="J12">
        <v>5</v>
      </c>
      <c r="K12" s="24">
        <f t="shared" ref="K12:K21" si="1">J12*1000</f>
        <v>5000</v>
      </c>
      <c r="L12" s="14"/>
      <c r="M12" s="14"/>
      <c r="N12" s="30">
        <f t="shared" ref="N12:N14" si="2">AVERAGE(Q12:R12)</f>
        <v>0.85375494071146241</v>
      </c>
      <c r="O12" s="25"/>
      <c r="Q12">
        <f>K12/$Q$10</f>
        <v>0.86956521739130432</v>
      </c>
      <c r="R12">
        <f>K16/$R$10</f>
        <v>0.8379446640316206</v>
      </c>
      <c r="S12" s="3" t="s">
        <v>9</v>
      </c>
    </row>
    <row r="13" spans="1:19" x14ac:dyDescent="0.25">
      <c r="A13" s="1">
        <v>14</v>
      </c>
      <c r="B13" s="24">
        <f t="shared" si="0"/>
        <v>14000</v>
      </c>
      <c r="C13" s="17">
        <f t="shared" ref="C13:C22" si="3">$B$1*B12+(1-$B$1)*C12</f>
        <v>12600</v>
      </c>
      <c r="D13" s="2"/>
      <c r="E13" s="16">
        <v>60</v>
      </c>
      <c r="F13" s="14">
        <f t="shared" ref="F13:F21" si="4">$B$1*E13+(1-$B$1)*(F12+G12)</f>
        <v>55.872</v>
      </c>
      <c r="G13" s="14">
        <f t="shared" ref="G13:G21" si="5">$B$2*(F13-F12)+(1-$B$2)*G12</f>
        <v>1.5455999999999994</v>
      </c>
      <c r="H13" s="26">
        <f t="shared" ref="H13:H22" si="6">F12+G12</f>
        <v>53.120000000000005</v>
      </c>
      <c r="J13">
        <v>6</v>
      </c>
      <c r="K13" s="24">
        <f t="shared" si="1"/>
        <v>6000</v>
      </c>
      <c r="L13" s="14"/>
      <c r="M13" s="14"/>
      <c r="N13" s="30">
        <f t="shared" si="2"/>
        <v>1.075098814229249</v>
      </c>
      <c r="O13" s="25"/>
      <c r="Q13">
        <f>K13/$Q$10</f>
        <v>1.0434782608695652</v>
      </c>
      <c r="R13">
        <f>K17/$R$10</f>
        <v>1.1067193675889329</v>
      </c>
      <c r="S13" s="3" t="s">
        <v>10</v>
      </c>
    </row>
    <row r="14" spans="1:19" x14ac:dyDescent="0.25">
      <c r="A14" s="1">
        <v>11</v>
      </c>
      <c r="B14" s="24">
        <f t="shared" si="0"/>
        <v>11000</v>
      </c>
      <c r="C14" s="17">
        <f t="shared" si="3"/>
        <v>13160</v>
      </c>
      <c r="D14" s="2"/>
      <c r="E14" s="16">
        <v>55</v>
      </c>
      <c r="F14" s="14">
        <f t="shared" si="4"/>
        <v>56.450559999999996</v>
      </c>
      <c r="G14" s="14">
        <f t="shared" si="5"/>
        <v>1.2554879999999984</v>
      </c>
      <c r="H14" s="26">
        <f t="shared" si="6"/>
        <v>57.4176</v>
      </c>
      <c r="J14">
        <v>6.5</v>
      </c>
      <c r="K14" s="24">
        <f t="shared" si="1"/>
        <v>6500</v>
      </c>
      <c r="L14" s="31">
        <f>K14</f>
        <v>6500</v>
      </c>
      <c r="M14" s="31">
        <v>0</v>
      </c>
      <c r="N14" s="30">
        <f t="shared" si="2"/>
        <v>1.1422924901185771</v>
      </c>
      <c r="O14" s="25"/>
      <c r="Q14">
        <f>K14/$Q$10</f>
        <v>1.1304347826086956</v>
      </c>
      <c r="R14">
        <f>K18/$R$10</f>
        <v>1.1541501976284585</v>
      </c>
      <c r="S14" s="3" t="s">
        <v>11</v>
      </c>
    </row>
    <row r="15" spans="1:19" x14ac:dyDescent="0.25">
      <c r="A15" s="1">
        <v>10</v>
      </c>
      <c r="B15" s="24">
        <f t="shared" si="0"/>
        <v>10000</v>
      </c>
      <c r="C15" s="17">
        <f t="shared" si="3"/>
        <v>12296</v>
      </c>
      <c r="D15" s="2"/>
      <c r="E15" s="16">
        <v>62</v>
      </c>
      <c r="F15" s="14">
        <f t="shared" si="4"/>
        <v>59.423628800000003</v>
      </c>
      <c r="G15" s="14">
        <f t="shared" si="5"/>
        <v>1.7707622400000009</v>
      </c>
      <c r="H15" s="26">
        <f t="shared" si="6"/>
        <v>57.706047999999996</v>
      </c>
      <c r="J15">
        <v>5.7</v>
      </c>
      <c r="K15" s="24">
        <f t="shared" si="1"/>
        <v>5700</v>
      </c>
      <c r="L15" s="31">
        <f>$B$1*(K15/N11)+(1-$B$1)*(L14+M14)</f>
        <v>6354.6382978723414</v>
      </c>
      <c r="M15" s="31">
        <f>$B$2*(L15-L14)+(1-$B$2)*M14</f>
        <v>-43.608510638297595</v>
      </c>
      <c r="N15" s="32">
        <f>$B$3*(K15/L15)+(1-$B$3)*N11</f>
        <v>0.92247952450381676</v>
      </c>
      <c r="O15" s="17">
        <f>(L14+M14)*N11</f>
        <v>6037.549407114624</v>
      </c>
    </row>
    <row r="16" spans="1:19" x14ac:dyDescent="0.25">
      <c r="A16" s="1">
        <v>9</v>
      </c>
      <c r="B16" s="24">
        <f t="shared" si="0"/>
        <v>9000</v>
      </c>
      <c r="C16" s="17">
        <f t="shared" si="3"/>
        <v>11377.599999999999</v>
      </c>
      <c r="D16" s="2"/>
      <c r="E16" s="16">
        <v>67</v>
      </c>
      <c r="F16" s="14">
        <f t="shared" si="4"/>
        <v>63.516634624000005</v>
      </c>
      <c r="G16" s="14">
        <f t="shared" si="5"/>
        <v>2.4674353152000013</v>
      </c>
      <c r="H16" s="26">
        <f t="shared" si="6"/>
        <v>61.194391040000006</v>
      </c>
      <c r="J16">
        <v>5.3</v>
      </c>
      <c r="K16" s="24">
        <f t="shared" si="1"/>
        <v>5300</v>
      </c>
      <c r="L16" s="31">
        <f t="shared" ref="L16:L21" si="7">$B$1*(K16/N12)+(1-$B$1)*(L15+M15)</f>
        <v>6269.7660204885742</v>
      </c>
      <c r="M16" s="31">
        <f t="shared" ref="M16:M21" si="8">$B$2*(L16-L15)+(1-$B$2)*M15</f>
        <v>-55.987640661938457</v>
      </c>
      <c r="N16" s="32">
        <f t="shared" ref="N16:N21" si="9">$B$3*(K16/L16)+(1-$B$3)*N12</f>
        <v>0.85206927279580891</v>
      </c>
      <c r="O16" s="17">
        <f t="shared" ref="O16:O22" si="10">(L15+M15)*N12</f>
        <v>5388.0728618282737</v>
      </c>
    </row>
    <row r="17" spans="1:15" x14ac:dyDescent="0.25">
      <c r="A17" s="1">
        <v>10</v>
      </c>
      <c r="B17" s="24">
        <f t="shared" si="0"/>
        <v>10000</v>
      </c>
      <c r="C17" s="17">
        <f t="shared" si="3"/>
        <v>10426.559999999998</v>
      </c>
      <c r="D17" s="2"/>
      <c r="E17" s="16">
        <v>65</v>
      </c>
      <c r="F17" s="14">
        <f t="shared" si="4"/>
        <v>65.590441963520007</v>
      </c>
      <c r="G17" s="14">
        <f t="shared" si="5"/>
        <v>2.3493469224960011</v>
      </c>
      <c r="H17" s="26">
        <f t="shared" si="6"/>
        <v>65.984069939200012</v>
      </c>
      <c r="J17">
        <v>7</v>
      </c>
      <c r="K17" s="24">
        <f t="shared" si="1"/>
        <v>7000</v>
      </c>
      <c r="L17" s="31">
        <f t="shared" si="7"/>
        <v>6332.6787926018642</v>
      </c>
      <c r="M17" s="31">
        <f t="shared" si="8"/>
        <v>-20.317516829369925</v>
      </c>
      <c r="N17" s="32">
        <f t="shared" si="9"/>
        <v>1.0811545307896098</v>
      </c>
      <c r="O17" s="17">
        <f t="shared" si="10"/>
        <v>6680.4257680349601</v>
      </c>
    </row>
    <row r="18" spans="1:15" x14ac:dyDescent="0.25">
      <c r="A18" s="1">
        <v>14</v>
      </c>
      <c r="B18" s="24">
        <f t="shared" si="0"/>
        <v>14000</v>
      </c>
      <c r="C18" s="17">
        <f t="shared" si="3"/>
        <v>10255.935999999998</v>
      </c>
      <c r="D18" s="2"/>
      <c r="E18" s="16">
        <v>70</v>
      </c>
      <c r="F18" s="14">
        <f t="shared" si="4"/>
        <v>68.763873331609602</v>
      </c>
      <c r="G18" s="14">
        <f t="shared" si="5"/>
        <v>2.5965722561740794</v>
      </c>
      <c r="H18" s="26">
        <f t="shared" si="6"/>
        <v>67.939788886016004</v>
      </c>
      <c r="J18">
        <v>7.3</v>
      </c>
      <c r="K18" s="24">
        <f t="shared" si="1"/>
        <v>7300</v>
      </c>
      <c r="L18" s="31">
        <f t="shared" si="7"/>
        <v>6343.6797412420428</v>
      </c>
      <c r="M18" s="31">
        <f t="shared" si="8"/>
        <v>-10.921977188505352</v>
      </c>
      <c r="N18" s="32">
        <f t="shared" si="9"/>
        <v>1.1439843243236674</v>
      </c>
      <c r="O18" s="17">
        <f t="shared" si="10"/>
        <v>7210.5628802302408</v>
      </c>
    </row>
    <row r="19" spans="1:15" x14ac:dyDescent="0.25">
      <c r="A19" s="1">
        <v>13</v>
      </c>
      <c r="B19" s="24">
        <f t="shared" si="0"/>
        <v>13000</v>
      </c>
      <c r="C19" s="17">
        <f t="shared" si="3"/>
        <v>11753.561599999997</v>
      </c>
      <c r="D19" s="2"/>
      <c r="E19" s="16">
        <v>72</v>
      </c>
      <c r="F19" s="14">
        <f t="shared" si="4"/>
        <v>71.616267352670206</v>
      </c>
      <c r="G19" s="14">
        <f t="shared" si="5"/>
        <v>2.6733187856400367</v>
      </c>
      <c r="H19" s="26">
        <f t="shared" si="6"/>
        <v>71.360445587783687</v>
      </c>
      <c r="J19">
        <v>6.4</v>
      </c>
      <c r="K19" s="24">
        <f t="shared" si="1"/>
        <v>6400</v>
      </c>
      <c r="L19" s="31">
        <f t="shared" si="7"/>
        <v>6574.7840049365586</v>
      </c>
      <c r="M19" s="31">
        <f t="shared" si="8"/>
        <v>61.685895076400989</v>
      </c>
      <c r="N19" s="32">
        <f t="shared" si="9"/>
        <v>0.93266682121681521</v>
      </c>
      <c r="O19" s="17">
        <f t="shared" si="10"/>
        <v>5841.8393709819611</v>
      </c>
    </row>
    <row r="20" spans="1:15" x14ac:dyDescent="0.25">
      <c r="A20" s="1">
        <v>10</v>
      </c>
      <c r="B20" s="24">
        <f t="shared" si="0"/>
        <v>10000</v>
      </c>
      <c r="C20" s="17">
        <f t="shared" si="3"/>
        <v>12252.136959999998</v>
      </c>
      <c r="D20" s="2"/>
      <c r="E20" s="16">
        <v>78</v>
      </c>
      <c r="F20" s="14">
        <f t="shared" si="4"/>
        <v>75.773751682986145</v>
      </c>
      <c r="G20" s="14">
        <f t="shared" si="5"/>
        <v>3.1185684490428072</v>
      </c>
      <c r="H20" s="26">
        <f t="shared" si="6"/>
        <v>74.289586138310241</v>
      </c>
      <c r="J20">
        <v>6.1</v>
      </c>
      <c r="K20" s="24">
        <f t="shared" si="1"/>
        <v>6100</v>
      </c>
      <c r="L20" s="31">
        <f t="shared" si="7"/>
        <v>6845.4988757457286</v>
      </c>
      <c r="M20" s="31">
        <f t="shared" si="8"/>
        <v>124.39458779623168</v>
      </c>
      <c r="N20" s="32">
        <f t="shared" si="9"/>
        <v>0.85987471563841578</v>
      </c>
      <c r="O20" s="17">
        <f t="shared" si="10"/>
        <v>5654.7320816353167</v>
      </c>
    </row>
    <row r="21" spans="1:15" x14ac:dyDescent="0.25">
      <c r="A21" s="1">
        <v>8</v>
      </c>
      <c r="B21" s="18">
        <f t="shared" si="0"/>
        <v>8000</v>
      </c>
      <c r="C21" s="20">
        <f t="shared" si="3"/>
        <v>11351.282175999999</v>
      </c>
      <c r="D21" s="2"/>
      <c r="E21" s="28">
        <v>76</v>
      </c>
      <c r="F21" s="19">
        <f t="shared" si="4"/>
        <v>77.735392079217377</v>
      </c>
      <c r="G21" s="19">
        <f t="shared" si="5"/>
        <v>2.7714900331993344</v>
      </c>
      <c r="H21" s="27">
        <f t="shared" si="6"/>
        <v>78.892320132028956</v>
      </c>
      <c r="J21">
        <v>8</v>
      </c>
      <c r="K21" s="18">
        <f t="shared" si="1"/>
        <v>8000</v>
      </c>
      <c r="L21" s="33">
        <f t="shared" si="7"/>
        <v>7141.7349864855878</v>
      </c>
      <c r="M21" s="33">
        <f t="shared" si="8"/>
        <v>175.94704467931993</v>
      </c>
      <c r="N21" s="34">
        <f t="shared" si="9"/>
        <v>1.0889588209849135</v>
      </c>
      <c r="O21" s="20">
        <f t="shared" si="10"/>
        <v>7535.5318972292762</v>
      </c>
    </row>
    <row r="22" spans="1:15" x14ac:dyDescent="0.25">
      <c r="C22" s="10">
        <f t="shared" si="3"/>
        <v>10010.769305599999</v>
      </c>
      <c r="D22" s="2"/>
      <c r="H22" s="29">
        <f t="shared" si="6"/>
        <v>80.506882112416704</v>
      </c>
      <c r="O22" s="10">
        <f t="shared" si="10"/>
        <v>8371.3135340376284</v>
      </c>
    </row>
    <row r="23" spans="1:15" x14ac:dyDescent="0.25">
      <c r="D23" s="3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83307-E741-495B-A201-BF8E6CAE3589}">
  <dimension ref="A3:U26"/>
  <sheetViews>
    <sheetView zoomScaleNormal="100" workbookViewId="0">
      <selection activeCell="T11" sqref="T11:U23"/>
    </sheetView>
  </sheetViews>
  <sheetFormatPr defaultRowHeight="15" x14ac:dyDescent="0.25"/>
  <cols>
    <col min="5" max="6" width="11" bestFit="1" customWidth="1"/>
    <col min="14" max="14" width="11.5703125" bestFit="1" customWidth="1"/>
    <col min="15" max="15" width="6.42578125" customWidth="1"/>
    <col min="18" max="18" width="21.7109375" bestFit="1" customWidth="1"/>
  </cols>
  <sheetData>
    <row r="3" spans="1:21" ht="14.25" customHeight="1" x14ac:dyDescent="0.25"/>
    <row r="9" spans="1:21" x14ac:dyDescent="0.25">
      <c r="M9" s="7" t="s">
        <v>21</v>
      </c>
      <c r="N9" s="7">
        <v>-0.6</v>
      </c>
      <c r="P9" s="7" t="s">
        <v>19</v>
      </c>
      <c r="Q9" s="7">
        <f>C26</f>
        <v>0.2753978385239757</v>
      </c>
      <c r="R9" s="7" t="s">
        <v>21</v>
      </c>
      <c r="S9" s="7">
        <v>-0.6</v>
      </c>
    </row>
    <row r="10" spans="1:21" x14ac:dyDescent="0.25">
      <c r="A10" s="4" t="s">
        <v>0</v>
      </c>
      <c r="B10" s="4" t="s">
        <v>14</v>
      </c>
      <c r="C10" s="4" t="s">
        <v>12</v>
      </c>
      <c r="D10" s="4" t="s">
        <v>13</v>
      </c>
      <c r="E10" s="4" t="s">
        <v>15</v>
      </c>
      <c r="F10" s="4" t="s">
        <v>18</v>
      </c>
      <c r="G10" s="4" t="s">
        <v>1</v>
      </c>
      <c r="J10" s="4" t="s">
        <v>0</v>
      </c>
      <c r="K10" s="4" t="s">
        <v>14</v>
      </c>
      <c r="L10" s="4" t="s">
        <v>25</v>
      </c>
      <c r="M10" s="4" t="s">
        <v>23</v>
      </c>
      <c r="N10" s="4" t="s">
        <v>24</v>
      </c>
      <c r="P10" s="4" t="s">
        <v>25</v>
      </c>
      <c r="Q10" s="4" t="s">
        <v>23</v>
      </c>
      <c r="R10" s="4" t="s">
        <v>24</v>
      </c>
    </row>
    <row r="11" spans="1:21" x14ac:dyDescent="0.25">
      <c r="A11">
        <v>5384</v>
      </c>
      <c r="B11">
        <v>1</v>
      </c>
      <c r="C11">
        <f t="shared" ref="C11:C22" si="0">A11</f>
        <v>5384</v>
      </c>
      <c r="D11">
        <f>C12</f>
        <v>8081</v>
      </c>
      <c r="E11">
        <f>C11*D11</f>
        <v>43508104</v>
      </c>
      <c r="F11">
        <f>C11^2</f>
        <v>28987456</v>
      </c>
      <c r="G11" s="2">
        <f>$F$26+$C$26*C11</f>
        <v>8913.4521501288818</v>
      </c>
      <c r="J11">
        <v>5384</v>
      </c>
      <c r="K11">
        <v>1</v>
      </c>
      <c r="L11" s="2">
        <f>J24</f>
        <v>9647.6666666666661</v>
      </c>
      <c r="M11" s="2">
        <f t="shared" ref="M11:M22" si="1">J11-L11</f>
        <v>-4263.6666666666661</v>
      </c>
      <c r="N11" s="2">
        <f t="shared" ref="N11:N22" si="2">M11^2</f>
        <v>18178853.44444444</v>
      </c>
      <c r="P11" s="2">
        <f>F26</f>
        <v>7430.710187515796</v>
      </c>
      <c r="Q11" s="2">
        <f>J11-P11</f>
        <v>-2046.710187515796</v>
      </c>
      <c r="R11" s="2">
        <f t="shared" ref="R11:R22" si="3">Q11^2</f>
        <v>4189022.5916809444</v>
      </c>
      <c r="T11" s="2"/>
      <c r="U11" s="2"/>
    </row>
    <row r="12" spans="1:21" x14ac:dyDescent="0.25">
      <c r="A12">
        <v>8081</v>
      </c>
      <c r="B12">
        <v>2</v>
      </c>
      <c r="C12">
        <f t="shared" si="0"/>
        <v>8081</v>
      </c>
      <c r="D12">
        <f t="shared" ref="D12:D21" si="4">C13</f>
        <v>10282</v>
      </c>
      <c r="E12">
        <f t="shared" ref="E12:E21" si="5">C12*D12</f>
        <v>83088842</v>
      </c>
      <c r="F12">
        <f t="shared" ref="F12:F21" si="6">C12^2</f>
        <v>65302561</v>
      </c>
      <c r="G12" s="2">
        <f t="shared" ref="G12:G22" si="7">$F$26+$C$26*C12</f>
        <v>9656.2001206280438</v>
      </c>
      <c r="J12">
        <v>8081</v>
      </c>
      <c r="K12">
        <v>2</v>
      </c>
      <c r="L12" s="2">
        <f t="shared" ref="L12:L23" si="8">$J$24-$N$9*M11</f>
        <v>7089.4666666666672</v>
      </c>
      <c r="M12" s="2">
        <f t="shared" si="1"/>
        <v>991.53333333333285</v>
      </c>
      <c r="N12" s="2">
        <f t="shared" si="2"/>
        <v>983138.35111111018</v>
      </c>
      <c r="P12" s="2">
        <f>$F$26+$Q$9*J11-$S$9*Q11</f>
        <v>7685.4260376194043</v>
      </c>
      <c r="Q12" s="2">
        <f>J12-P12</f>
        <v>395.57396238059573</v>
      </c>
      <c r="R12" s="2">
        <f t="shared" si="3"/>
        <v>156478.75971348496</v>
      </c>
      <c r="T12" s="2"/>
      <c r="U12" s="2"/>
    </row>
    <row r="13" spans="1:21" x14ac:dyDescent="0.25">
      <c r="A13">
        <v>10282</v>
      </c>
      <c r="B13">
        <v>3</v>
      </c>
      <c r="C13">
        <f t="shared" si="0"/>
        <v>10282</v>
      </c>
      <c r="D13">
        <f t="shared" si="4"/>
        <v>9156</v>
      </c>
      <c r="E13">
        <f t="shared" si="5"/>
        <v>94141992</v>
      </c>
      <c r="F13">
        <f t="shared" si="6"/>
        <v>105719524</v>
      </c>
      <c r="G13" s="2">
        <f t="shared" si="7"/>
        <v>10262.350763219314</v>
      </c>
      <c r="J13">
        <v>10282</v>
      </c>
      <c r="K13">
        <v>3</v>
      </c>
      <c r="L13" s="2">
        <f t="shared" si="8"/>
        <v>10242.586666666666</v>
      </c>
      <c r="M13" s="2">
        <f t="shared" si="1"/>
        <v>39.413333333333867</v>
      </c>
      <c r="N13" s="2">
        <f t="shared" si="2"/>
        <v>1553.4108444444864</v>
      </c>
      <c r="P13" s="2">
        <f t="shared" ref="P13:P23" si="9">$F$26+$Q$9*J12-$S$9*Q12</f>
        <v>9893.5444980564007</v>
      </c>
      <c r="Q13" s="2">
        <f t="shared" ref="Q13:Q22" si="10">J13-P13</f>
        <v>388.4555019435993</v>
      </c>
      <c r="R13" s="2">
        <f t="shared" si="3"/>
        <v>150897.67699025368</v>
      </c>
      <c r="T13" s="2"/>
      <c r="U13" s="2"/>
    </row>
    <row r="14" spans="1:21" x14ac:dyDescent="0.25">
      <c r="A14">
        <v>9156</v>
      </c>
      <c r="B14">
        <v>4</v>
      </c>
      <c r="C14">
        <f t="shared" si="0"/>
        <v>9156</v>
      </c>
      <c r="D14">
        <f t="shared" si="4"/>
        <v>6118</v>
      </c>
      <c r="E14">
        <f t="shared" si="5"/>
        <v>56016408</v>
      </c>
      <c r="F14">
        <f t="shared" si="6"/>
        <v>83832336</v>
      </c>
      <c r="G14" s="2">
        <f t="shared" si="7"/>
        <v>9952.2527970413175</v>
      </c>
      <c r="J14">
        <v>9156</v>
      </c>
      <c r="K14">
        <v>4</v>
      </c>
      <c r="L14" s="2">
        <f t="shared" si="8"/>
        <v>9671.3146666666671</v>
      </c>
      <c r="M14" s="2">
        <f t="shared" si="1"/>
        <v>-515.31466666666711</v>
      </c>
      <c r="N14" s="2">
        <f t="shared" si="2"/>
        <v>265549.20568177826</v>
      </c>
      <c r="P14" s="2">
        <f t="shared" si="9"/>
        <v>10495.424064385474</v>
      </c>
      <c r="Q14" s="2">
        <f t="shared" si="10"/>
        <v>-1339.4240643854737</v>
      </c>
      <c r="R14" s="2">
        <f t="shared" si="3"/>
        <v>1794056.8242549016</v>
      </c>
      <c r="T14" s="2"/>
      <c r="U14" s="2"/>
    </row>
    <row r="15" spans="1:21" x14ac:dyDescent="0.25">
      <c r="A15">
        <v>6118</v>
      </c>
      <c r="B15">
        <v>5</v>
      </c>
      <c r="C15">
        <f t="shared" si="0"/>
        <v>6118</v>
      </c>
      <c r="D15">
        <f t="shared" si="4"/>
        <v>9139</v>
      </c>
      <c r="E15">
        <f t="shared" si="5"/>
        <v>55912402</v>
      </c>
      <c r="F15">
        <f t="shared" si="6"/>
        <v>37429924</v>
      </c>
      <c r="G15" s="2">
        <f t="shared" si="7"/>
        <v>9115.5941636054795</v>
      </c>
      <c r="J15">
        <v>6118</v>
      </c>
      <c r="K15">
        <v>5</v>
      </c>
      <c r="L15" s="2">
        <f t="shared" si="8"/>
        <v>9338.4778666666662</v>
      </c>
      <c r="M15" s="2">
        <f t="shared" si="1"/>
        <v>-3220.4778666666662</v>
      </c>
      <c r="N15" s="2">
        <f t="shared" si="2"/>
        <v>10371477.689689882</v>
      </c>
      <c r="P15" s="2">
        <f t="shared" si="9"/>
        <v>9148.5983584100341</v>
      </c>
      <c r="Q15" s="2">
        <f t="shared" si="10"/>
        <v>-3030.5983584100341</v>
      </c>
      <c r="R15" s="2">
        <f t="shared" si="3"/>
        <v>9184526.4099975936</v>
      </c>
      <c r="T15" s="2"/>
      <c r="U15" s="2"/>
    </row>
    <row r="16" spans="1:21" x14ac:dyDescent="0.25">
      <c r="A16">
        <v>9139</v>
      </c>
      <c r="B16">
        <v>6</v>
      </c>
      <c r="C16">
        <f t="shared" si="0"/>
        <v>9139</v>
      </c>
      <c r="D16">
        <f t="shared" si="4"/>
        <v>12460</v>
      </c>
      <c r="E16">
        <f t="shared" si="5"/>
        <v>113871940</v>
      </c>
      <c r="F16">
        <f t="shared" si="6"/>
        <v>83521321</v>
      </c>
      <c r="G16" s="2">
        <f t="shared" si="7"/>
        <v>9947.5710337864093</v>
      </c>
      <c r="J16">
        <v>9139</v>
      </c>
      <c r="K16">
        <v>6</v>
      </c>
      <c r="L16" s="2">
        <f t="shared" si="8"/>
        <v>7715.379946666666</v>
      </c>
      <c r="M16" s="2">
        <f t="shared" si="1"/>
        <v>1423.620053333334</v>
      </c>
      <c r="N16" s="2">
        <f t="shared" si="2"/>
        <v>2026694.0562528048</v>
      </c>
      <c r="P16" s="2">
        <f t="shared" si="9"/>
        <v>7297.235148559459</v>
      </c>
      <c r="Q16" s="2">
        <f t="shared" si="10"/>
        <v>1841.764851440541</v>
      </c>
      <c r="R16" s="2">
        <f t="shared" si="3"/>
        <v>3392097.7680017981</v>
      </c>
      <c r="T16" s="2"/>
      <c r="U16" s="2"/>
    </row>
    <row r="17" spans="1:21" x14ac:dyDescent="0.25">
      <c r="A17">
        <v>12460</v>
      </c>
      <c r="B17">
        <v>7</v>
      </c>
      <c r="C17">
        <f t="shared" si="0"/>
        <v>12460</v>
      </c>
      <c r="D17">
        <f t="shared" si="4"/>
        <v>10717</v>
      </c>
      <c r="E17">
        <f t="shared" si="5"/>
        <v>133533820</v>
      </c>
      <c r="F17">
        <f t="shared" si="6"/>
        <v>155251600</v>
      </c>
      <c r="G17" s="2">
        <f t="shared" si="7"/>
        <v>10862.167255524533</v>
      </c>
      <c r="J17">
        <v>12460</v>
      </c>
      <c r="K17">
        <v>7</v>
      </c>
      <c r="L17" s="2">
        <f t="shared" si="8"/>
        <v>10501.838698666666</v>
      </c>
      <c r="M17" s="2">
        <f t="shared" si="1"/>
        <v>1958.1613013333335</v>
      </c>
      <c r="N17" s="2">
        <f t="shared" si="2"/>
        <v>3834395.6820394541</v>
      </c>
      <c r="P17" s="2">
        <f t="shared" si="9"/>
        <v>11052.629944650735</v>
      </c>
      <c r="Q17" s="2">
        <f t="shared" si="10"/>
        <v>1407.3700553492654</v>
      </c>
      <c r="R17" s="2">
        <f t="shared" si="3"/>
        <v>1980690.4726937944</v>
      </c>
      <c r="T17" s="2"/>
      <c r="U17" s="2"/>
    </row>
    <row r="18" spans="1:21" x14ac:dyDescent="0.25">
      <c r="A18">
        <v>10717</v>
      </c>
      <c r="B18">
        <v>8</v>
      </c>
      <c r="C18">
        <f t="shared" si="0"/>
        <v>10717</v>
      </c>
      <c r="D18">
        <f t="shared" si="4"/>
        <v>7825</v>
      </c>
      <c r="E18">
        <f t="shared" si="5"/>
        <v>83860525</v>
      </c>
      <c r="F18">
        <f t="shared" si="6"/>
        <v>114854089</v>
      </c>
      <c r="G18" s="2">
        <f t="shared" si="7"/>
        <v>10382.148822977244</v>
      </c>
      <c r="J18">
        <v>10717</v>
      </c>
      <c r="K18">
        <v>8</v>
      </c>
      <c r="L18" s="2">
        <f t="shared" si="8"/>
        <v>10822.563447466666</v>
      </c>
      <c r="M18" s="2">
        <f t="shared" si="1"/>
        <v>-105.56344746666582</v>
      </c>
      <c r="N18" s="2">
        <f t="shared" si="2"/>
        <v>11143.641441047514</v>
      </c>
      <c r="P18" s="2">
        <f t="shared" si="9"/>
        <v>11706.589288734092</v>
      </c>
      <c r="Q18" s="2">
        <f t="shared" si="10"/>
        <v>-989.58928873409241</v>
      </c>
      <c r="R18" s="2">
        <f t="shared" si="3"/>
        <v>979286.96037724696</v>
      </c>
      <c r="T18" s="2"/>
      <c r="U18" s="2"/>
    </row>
    <row r="19" spans="1:21" x14ac:dyDescent="0.25">
      <c r="A19">
        <v>7825</v>
      </c>
      <c r="B19">
        <v>9</v>
      </c>
      <c r="C19">
        <f t="shared" si="0"/>
        <v>7825</v>
      </c>
      <c r="D19">
        <f t="shared" si="4"/>
        <v>9693</v>
      </c>
      <c r="E19">
        <f t="shared" si="5"/>
        <v>75847725</v>
      </c>
      <c r="F19">
        <f t="shared" si="6"/>
        <v>61230625</v>
      </c>
      <c r="G19" s="2">
        <f t="shared" si="7"/>
        <v>9585.6982739659052</v>
      </c>
      <c r="J19">
        <v>7825</v>
      </c>
      <c r="K19">
        <v>9</v>
      </c>
      <c r="L19" s="2">
        <f t="shared" si="8"/>
        <v>9584.3285981866666</v>
      </c>
      <c r="M19" s="2">
        <f t="shared" si="1"/>
        <v>-1759.3285981866666</v>
      </c>
      <c r="N19" s="2">
        <f t="shared" si="2"/>
        <v>3095237.1163974614</v>
      </c>
      <c r="P19" s="2">
        <f t="shared" si="9"/>
        <v>9788.3952497367882</v>
      </c>
      <c r="Q19" s="2">
        <f t="shared" si="10"/>
        <v>-1963.3952497367882</v>
      </c>
      <c r="R19" s="2">
        <f t="shared" si="3"/>
        <v>3854920.9066889849</v>
      </c>
      <c r="T19" s="2"/>
      <c r="U19" s="2"/>
    </row>
    <row r="20" spans="1:21" x14ac:dyDescent="0.25">
      <c r="A20">
        <v>9693</v>
      </c>
      <c r="B20">
        <v>10</v>
      </c>
      <c r="C20">
        <f t="shared" si="0"/>
        <v>9693</v>
      </c>
      <c r="D20">
        <f t="shared" si="4"/>
        <v>15177</v>
      </c>
      <c r="E20">
        <f t="shared" si="5"/>
        <v>147110661</v>
      </c>
      <c r="F20">
        <f t="shared" si="6"/>
        <v>93954249</v>
      </c>
      <c r="G20" s="2">
        <f t="shared" si="7"/>
        <v>10100.141436328693</v>
      </c>
      <c r="J20">
        <v>9693</v>
      </c>
      <c r="K20">
        <v>10</v>
      </c>
      <c r="L20" s="2">
        <f t="shared" si="8"/>
        <v>8592.0695077546661</v>
      </c>
      <c r="M20" s="2">
        <f t="shared" si="1"/>
        <v>1100.9304922453339</v>
      </c>
      <c r="N20" s="2">
        <f t="shared" si="2"/>
        <v>1212047.9487555532</v>
      </c>
      <c r="P20" s="2">
        <f t="shared" si="9"/>
        <v>8407.6611241238315</v>
      </c>
      <c r="Q20" s="2">
        <f t="shared" si="10"/>
        <v>1285.3388758761685</v>
      </c>
      <c r="R20" s="2">
        <f t="shared" si="3"/>
        <v>1652096.0258386123</v>
      </c>
      <c r="T20" s="2"/>
      <c r="U20" s="2"/>
    </row>
    <row r="21" spans="1:21" x14ac:dyDescent="0.25">
      <c r="A21">
        <v>15177</v>
      </c>
      <c r="B21">
        <v>11</v>
      </c>
      <c r="C21">
        <f t="shared" si="0"/>
        <v>15177</v>
      </c>
      <c r="D21">
        <f t="shared" si="4"/>
        <v>11740</v>
      </c>
      <c r="E21">
        <f t="shared" si="5"/>
        <v>178177980</v>
      </c>
      <c r="F21">
        <f t="shared" si="6"/>
        <v>230341329</v>
      </c>
      <c r="G21" s="2">
        <f t="shared" si="7"/>
        <v>11610.423182794175</v>
      </c>
      <c r="J21">
        <v>15177</v>
      </c>
      <c r="K21">
        <v>11</v>
      </c>
      <c r="L21" s="2">
        <f t="shared" si="8"/>
        <v>10308.224962013866</v>
      </c>
      <c r="M21" s="2">
        <f t="shared" si="1"/>
        <v>4868.7750379861336</v>
      </c>
      <c r="N21" s="2">
        <f t="shared" si="2"/>
        <v>23704970.370516878</v>
      </c>
      <c r="P21" s="2">
        <f t="shared" si="9"/>
        <v>10871.344761854394</v>
      </c>
      <c r="Q21" s="2">
        <f t="shared" si="10"/>
        <v>4305.6552381456058</v>
      </c>
      <c r="R21" s="2">
        <f t="shared" si="3"/>
        <v>18538667.029770695</v>
      </c>
      <c r="T21" s="2"/>
      <c r="U21" s="2"/>
    </row>
    <row r="22" spans="1:21" x14ac:dyDescent="0.25">
      <c r="A22">
        <v>11740</v>
      </c>
      <c r="B22">
        <v>12</v>
      </c>
      <c r="C22" s="5">
        <f t="shared" si="0"/>
        <v>11740</v>
      </c>
      <c r="G22" s="2">
        <f t="shared" si="7"/>
        <v>10663.88081178727</v>
      </c>
      <c r="J22">
        <v>11740</v>
      </c>
      <c r="K22">
        <v>12</v>
      </c>
      <c r="L22" s="2">
        <f t="shared" si="8"/>
        <v>12568.931689458346</v>
      </c>
      <c r="M22" s="2">
        <f t="shared" si="1"/>
        <v>-828.93168945834623</v>
      </c>
      <c r="N22" s="2">
        <f t="shared" si="2"/>
        <v>687127.74578826816</v>
      </c>
      <c r="P22" s="2">
        <f t="shared" si="9"/>
        <v>14193.816325681539</v>
      </c>
      <c r="Q22" s="2">
        <f t="shared" si="10"/>
        <v>-2453.8163256815387</v>
      </c>
      <c r="R22" s="2">
        <f t="shared" si="3"/>
        <v>6021214.5601812471</v>
      </c>
      <c r="T22" s="2"/>
      <c r="U22" s="2"/>
    </row>
    <row r="23" spans="1:21" x14ac:dyDescent="0.25">
      <c r="B23" t="s">
        <v>16</v>
      </c>
      <c r="C23">
        <f>SUM(C11:C21)</f>
        <v>104032</v>
      </c>
      <c r="D23">
        <f>SUM(D11:D21)</f>
        <v>110388</v>
      </c>
      <c r="E23">
        <f>SUM(E11:E21)</f>
        <v>1065070399</v>
      </c>
      <c r="F23">
        <f>SUM(F11:F21)</f>
        <v>1060425014</v>
      </c>
      <c r="L23" s="2">
        <f t="shared" si="8"/>
        <v>9150.307652991658</v>
      </c>
      <c r="O23" s="6"/>
      <c r="P23" s="2">
        <f t="shared" si="9"/>
        <v>9191.5910163783465</v>
      </c>
      <c r="T23" s="2"/>
    </row>
    <row r="24" spans="1:21" x14ac:dyDescent="0.25">
      <c r="B24" t="s">
        <v>17</v>
      </c>
      <c r="C24">
        <f>C23/11</f>
        <v>9457.454545454546</v>
      </c>
      <c r="D24">
        <f>D23/11</f>
        <v>10035.272727272728</v>
      </c>
      <c r="I24" t="s">
        <v>17</v>
      </c>
      <c r="J24">
        <f>AVERAGE(J11:J22)</f>
        <v>9647.6666666666661</v>
      </c>
      <c r="M24" t="s">
        <v>22</v>
      </c>
      <c r="N24" s="6">
        <f>SUM(N11:N22)</f>
        <v>64372188.66296313</v>
      </c>
      <c r="Q24" t="s">
        <v>22</v>
      </c>
      <c r="R24" s="6">
        <f>SUM(R11:R22)</f>
        <v>51893955.986189559</v>
      </c>
    </row>
    <row r="26" spans="1:21" x14ac:dyDescent="0.25">
      <c r="B26" t="s">
        <v>19</v>
      </c>
      <c r="C26">
        <f>(11*E23-C23*D23)/(11*F23-C23^2)</f>
        <v>0.2753978385239757</v>
      </c>
      <c r="E26" t="s">
        <v>20</v>
      </c>
      <c r="F26">
        <f>(F23*D23-E23*C23)/(11*F23-C23^2)</f>
        <v>7430.710187515796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AMO, KMO</vt:lpstr>
      <vt:lpstr>Exp-Sm</vt:lpstr>
      <vt:lpstr>ARMA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Ioannis Minis</dc:creator>
  <cp:lastModifiedBy>Ioannis Minis</cp:lastModifiedBy>
  <dcterms:created xsi:type="dcterms:W3CDTF">2019-05-18T06:20:18Z</dcterms:created>
  <dcterms:modified xsi:type="dcterms:W3CDTF">2020-05-18T08:58:04Z</dcterms:modified>
</cp:coreProperties>
</file>